
<file path=[Content_Types].xml><?xml version="1.0" encoding="utf-8"?>
<Types xmlns="http://schemas.openxmlformats.org/package/2006/content-types">
  <Default Extension="rels" ContentType="application/vnd.openxmlformats-package.relationships+xml"/>
  <Override PartName="/xl/media/image1.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5.4.102"/>
  <workbookPr defaultThemeVersion="166925"/>
  <bookViews>
    <workbookView xWindow="1425" yWindow="1425" windowWidth="22935" windowHeight="18975"/>
  </bookViews>
  <sheets>
    <sheet name="8" sheetId="1" r:id="rId1"/>
  </sheets>
  <definedNames>
    <definedName name="OSR_GearWriter_0" localSheetId="0">'8'!$D$8:$F$8</definedName>
    <definedName name="OSR_GearWriter_1" localSheetId="0">'8'!$G$8:$I$8</definedName>
    <definedName name="_xlnm.Print_Area" localSheetId="0">'8'!$A$2:$J$190</definedName>
    <definedName name="_xlnm.Print_Titles" localSheetId="0">'8'!$2:$5</definedName>
  </definedNames>
  <calcPr calcId="40001"/>
</workbook>
</file>

<file path=xl/sharedStrings.xml><?xml version="1.0" encoding="utf-8"?>
<sst xmlns="http://schemas.openxmlformats.org/spreadsheetml/2006/main" uniqueCount="187">
  <si>
    <t>Annen varekostnad</t>
  </si>
  <si>
    <t>Resultat</t>
  </si>
  <si>
    <t>Differanse</t>
  </si>
  <si>
    <t>Regnskap siste 2 md</t>
  </si>
  <si>
    <t>Reklame/annonse Orkange</t>
  </si>
  <si>
    <t>Egenandel treningsutsty</t>
  </si>
  <si>
    <t>Datakommunikasjon</t>
  </si>
  <si>
    <t>Gebyr KlubbAdmin/Buypass</t>
  </si>
  <si>
    <t>Rentekostnad leverandørgjeld</t>
  </si>
  <si>
    <t>Gjeld til Hovedlaget</t>
  </si>
  <si>
    <t>Orkanger Idrettsforening</t>
  </si>
  <si>
    <t>Kostnad transportmidler</t>
  </si>
  <si>
    <t>Kontigenter og gaver</t>
  </si>
  <si>
    <t>EIENDELER</t>
  </si>
  <si>
    <t>Fordring på annen avdeling</t>
  </si>
  <si>
    <t>EGENKAPITAL / GJELD</t>
  </si>
  <si>
    <t>I år</t>
  </si>
  <si>
    <t>Regnskap hittil i år</t>
  </si>
  <si>
    <t>Sosiale Tilstelninger</t>
  </si>
  <si>
    <t>Bank og kortgebyrer</t>
  </si>
  <si>
    <t>Lagskonto 4270 17 20649 G1999</t>
  </si>
  <si>
    <t>Lagskonto 4270 17 22501 G2000</t>
  </si>
  <si>
    <t>Lagskonto 4270 18 20198 G2004</t>
  </si>
  <si>
    <t>Kasse Fotball jr.</t>
  </si>
  <si>
    <t>Verktøy, inventar, driftsm.</t>
  </si>
  <si>
    <t>Mva-refusjon</t>
  </si>
  <si>
    <t>Endring i avsetning til tap</t>
  </si>
  <si>
    <t>Fordring på Anleggsavd.</t>
  </si>
  <si>
    <t>Kapitalkonto Fotball</t>
  </si>
  <si>
    <t>Leieinntekter</t>
  </si>
  <si>
    <t>Provisjonsinntekt</t>
  </si>
  <si>
    <t>Andre kostnader</t>
  </si>
  <si>
    <t>Egenkapital</t>
  </si>
  <si>
    <t>Sponsor/samarbeidsavtal</t>
  </si>
  <si>
    <t>Egenandel deltagelse an</t>
  </si>
  <si>
    <t>Dommerutgifter</t>
  </si>
  <si>
    <t>Gaver</t>
  </si>
  <si>
    <t>Kontingenter/Avgifter I</t>
  </si>
  <si>
    <t>Fordring på Ulvåshytta</t>
  </si>
  <si>
    <t>Lagskonto 4270 19 64882 OIF Fotball G2010</t>
  </si>
  <si>
    <t>Lagskonto 4270 19 67539 OIF Fotball Kioskvogn</t>
  </si>
  <si>
    <t>Bank 4270 14 23911 Kunstgressbane</t>
  </si>
  <si>
    <t>Gjeld til Håndball</t>
  </si>
  <si>
    <t>Gjeld til Anleggsavd.</t>
  </si>
  <si>
    <t>Fremmede tjenester</t>
  </si>
  <si>
    <t>Totale driftskostnader</t>
  </si>
  <si>
    <t>Andre inntekter</t>
  </si>
  <si>
    <t>Lagskonto 4270 17 22579 Damelag</t>
  </si>
  <si>
    <t>Lagskonto 4270 17 22552 G2002</t>
  </si>
  <si>
    <t>Lagskonto 4270 17 23567 J2004</t>
  </si>
  <si>
    <t>Lagskonto 4270 17 63984 J2006</t>
  </si>
  <si>
    <t>Lagskonto 4270 18 77491 OIF Fotball Herrelag</t>
  </si>
  <si>
    <t>Lagskonto 4270 18 83750 OIF Fotball J2008</t>
  </si>
  <si>
    <t>Gjeld til Klubbhuset</t>
  </si>
  <si>
    <t>Annen påløpt kostnad</t>
  </si>
  <si>
    <t>Periodisering inntekt</t>
  </si>
  <si>
    <t>RESULTAT</t>
  </si>
  <si>
    <t>Totale driftsinntekter</t>
  </si>
  <si>
    <t>Finanskostnader</t>
  </si>
  <si>
    <t>Motpost Bankinnsk. Lagskonti</t>
  </si>
  <si>
    <t>Påmeld.avg./deltakergeb</t>
  </si>
  <si>
    <t>Lønn til ansatte (honorar u/fp)</t>
  </si>
  <si>
    <t>Leie Klubbus / Flerbrukshus</t>
  </si>
  <si>
    <t>Annen kostnad transportmiddel</t>
  </si>
  <si>
    <t>Reisekostnad, ikke oppg.pliktig</t>
  </si>
  <si>
    <t>Lagskonto 4270 17 60659 G2003</t>
  </si>
  <si>
    <t>Lagskonto 4270 18 71019 OIF Fotball G2006</t>
  </si>
  <si>
    <t>Kasse Hovedavd/Dans</t>
  </si>
  <si>
    <t>Forhåndsbetaling profixio</t>
  </si>
  <si>
    <t>Bankinnskudd lagskonti vs kto18xx</t>
  </si>
  <si>
    <t>Finansinntekter</t>
  </si>
  <si>
    <t>Total Egenkapital og gjeld</t>
  </si>
  <si>
    <t>Inventar/Utstyr</t>
  </si>
  <si>
    <t>Fordringer i KA-oppgjør - Fotball</t>
  </si>
  <si>
    <t>Annen driftsrelatert innt.</t>
  </si>
  <si>
    <t>Kostnad lokaler</t>
  </si>
  <si>
    <t>Kontorrekvisita</t>
  </si>
  <si>
    <t>Andre kortsiktige fordringer</t>
  </si>
  <si>
    <t>Lønnsforskudd</t>
  </si>
  <si>
    <t>Lagskonto 4270 17 22544 Diamonds</t>
  </si>
  <si>
    <t>Salgsinntekter avg.pliktige</t>
  </si>
  <si>
    <t>Reise/ diett</t>
  </si>
  <si>
    <t>Salg, reklame og repr.</t>
  </si>
  <si>
    <t>Varige driftsmidler</t>
  </si>
  <si>
    <t>Beholdninger</t>
  </si>
  <si>
    <t>Fordringer fakturert, KA, MySoft</t>
  </si>
  <si>
    <t>Kontanter og bankinnskudd</t>
  </si>
  <si>
    <t>Totale eiendeler</t>
  </si>
  <si>
    <t>Innkjøp varer for videresalg</t>
  </si>
  <si>
    <t>Arbeidsgiveravgift</t>
  </si>
  <si>
    <t>Leie Lokaler</t>
  </si>
  <si>
    <t>Leie betalingsterminal</t>
  </si>
  <si>
    <t>Edb Kostnader</t>
  </si>
  <si>
    <t>Idr.Faglig Utdan./Kurs,</t>
  </si>
  <si>
    <t>Øreavrunding</t>
  </si>
  <si>
    <t>Annen kostnad</t>
  </si>
  <si>
    <t>Kundefordringer</t>
  </si>
  <si>
    <t>Fordring på Hovedlaget</t>
  </si>
  <si>
    <t>Lagskonto 4270 18 81383 OIF Fotball G2008</t>
  </si>
  <si>
    <t>Lagskonto 4270 19 62839 OIF Fotball J2012</t>
  </si>
  <si>
    <t>Bank 6409 67 01525 De</t>
  </si>
  <si>
    <t>Gjeld til Fotball</t>
  </si>
  <si>
    <t>Reparasjon og vedlikehold</t>
  </si>
  <si>
    <t>Skyldige avgifter</t>
  </si>
  <si>
    <t>Budsjett</t>
  </si>
  <si>
    <t>Reklame og annonseinntekter</t>
  </si>
  <si>
    <t>Regnskapshonorar</t>
  </si>
  <si>
    <t>Aviser, tidsskrifter, bøker</t>
  </si>
  <si>
    <t>Overgangskontingenter</t>
  </si>
  <si>
    <t>Andre forskuddsbet kostnader</t>
  </si>
  <si>
    <t>Lagskonto 4270 17 22560 G2001</t>
  </si>
  <si>
    <t>Salgsinntekter utenfor avg.omr.</t>
  </si>
  <si>
    <t>Andre fordringer</t>
  </si>
  <si>
    <t>Banklån</t>
  </si>
  <si>
    <t>Byggelån</t>
  </si>
  <si>
    <t>IB</t>
  </si>
  <si>
    <t>Salg materiell/utstyr</t>
  </si>
  <si>
    <t>Tilskudd ifm Covid-19</t>
  </si>
  <si>
    <t>Dugnadsinntekter</t>
  </si>
  <si>
    <t>Leie Idrettsbane/Hall</t>
  </si>
  <si>
    <t>Utstyr Dommere</t>
  </si>
  <si>
    <t>Annen kontorkostnad</t>
  </si>
  <si>
    <t>Bilgodtgjørelse, oppgavepliktig</t>
  </si>
  <si>
    <t>Fordringer faktura via Hoopit</t>
  </si>
  <si>
    <t>Lagskonto 4270 17 73459 J2005</t>
  </si>
  <si>
    <t>Telefon og porto</t>
  </si>
  <si>
    <t>Leverandørgjeld</t>
  </si>
  <si>
    <t>Annen kortsiktig gjeld</t>
  </si>
  <si>
    <t>Leie datasystemer</t>
  </si>
  <si>
    <t>Rekvisita</t>
  </si>
  <si>
    <t>Rep. og vedlikehold bygninger</t>
  </si>
  <si>
    <t>Diverse Fremmede Tjenes</t>
  </si>
  <si>
    <t>Påmeld/Gebyrer Stevner,</t>
  </si>
  <si>
    <t>Kredittkortprovisjon</t>
  </si>
  <si>
    <t>Fordringer i KA/MySoft</t>
  </si>
  <si>
    <t>Lagskonto 4270 17 53741 J2002</t>
  </si>
  <si>
    <t>Lagskonto 4270 18 87942 OIF Fotball 2011</t>
  </si>
  <si>
    <t>Gjeld til Ulvåshytta</t>
  </si>
  <si>
    <t>Salgsinntekter avg.frie</t>
  </si>
  <si>
    <t>Lønn til ansatte</t>
  </si>
  <si>
    <t>Forsikringer og garantikostn.</t>
  </si>
  <si>
    <t>I fjor</t>
  </si>
  <si>
    <t>UB</t>
  </si>
  <si>
    <t>Treningsavgifter</t>
  </si>
  <si>
    <t>Oppgjørskonto merverdigavgift</t>
  </si>
  <si>
    <t>Varer for videresalg</t>
  </si>
  <si>
    <t>Forskuddsbetalte kostnader</t>
  </si>
  <si>
    <t>Udisponert resultat</t>
  </si>
  <si>
    <t>Tilskudd fra Særforbund</t>
  </si>
  <si>
    <t>Tilskudd fra Idrettskre</t>
  </si>
  <si>
    <t>Renteinntekter, bank</t>
  </si>
  <si>
    <t>Fordring på Turn</t>
  </si>
  <si>
    <t>Fordring på Klubbhuset</t>
  </si>
  <si>
    <t>Avsetning tap på kundefordringer</t>
  </si>
  <si>
    <t>Lagskonto 4270 17 89371 J2003</t>
  </si>
  <si>
    <t>Lagskonto 4270 18 69529 OIF Fotball G2005</t>
  </si>
  <si>
    <t>Lagskonto 4270 18 71132 OIF -Fotball 17  Mai 2018</t>
  </si>
  <si>
    <t>Off. tilskudd/ refusjoner</t>
  </si>
  <si>
    <t>Leie maskiner, inventar mv.</t>
  </si>
  <si>
    <t>Balanse pr.31.08.2019</t>
  </si>
  <si>
    <t>Fond</t>
  </si>
  <si>
    <t>Kiosk/restaurantsalg</t>
  </si>
  <si>
    <t>Lotteri, bingo, basar o</t>
  </si>
  <si>
    <t>Arbeidsklær og verneutstyr</t>
  </si>
  <si>
    <t>Reiseutgifter</t>
  </si>
  <si>
    <t>Annen rentekostnad</t>
  </si>
  <si>
    <t>Bank 4270 31 26000 Hovedlag</t>
  </si>
  <si>
    <t>Bank 4270 46 46202 Handball</t>
  </si>
  <si>
    <t>Skyldig arbeidsgiveravgift</t>
  </si>
  <si>
    <t>Av- og nedskrivninger</t>
  </si>
  <si>
    <t>Bankinnskudd Lagskonti</t>
  </si>
  <si>
    <t>Gjeld til annen avdeling</t>
  </si>
  <si>
    <t>Hittil i år</t>
  </si>
  <si>
    <t>Driftsmaterialer</t>
  </si>
  <si>
    <t>Møter, kurs, oppdatering</t>
  </si>
  <si>
    <t>Premier</t>
  </si>
  <si>
    <t>Idrettsutstyr/Rekvisita</t>
  </si>
  <si>
    <t>Tap på fordringer fritt</t>
  </si>
  <si>
    <t>Fordring på Svømming</t>
  </si>
  <si>
    <t>Lagskonto 4270 17 22528 J2001</t>
  </si>
  <si>
    <t>Lagskonto 4270 18 86911 OIF Fotball G2007</t>
  </si>
  <si>
    <t>Lagskonto 4270 19 67520 OIF Fotball G2000</t>
  </si>
  <si>
    <t>Lagskonto 4270 19 77135 OIF Fotball J2009</t>
  </si>
  <si>
    <t>Bank 4270 44 63418 Fotball</t>
  </si>
  <si>
    <t>Bank 4270 13 54375 OIF-Dans</t>
  </si>
  <si>
    <t>Inngående MVA høy sats</t>
  </si>
  <si>
    <t>Fakturert 17.mai-sponsing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</si>
</sst>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 * #,##0_ ;_ * \-#,##0_ ;_ * &quot;-&quot;_ ;_ @_ "/>
  </numFmts>
  <fonts count="23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12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0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0" fontId="0" fillId="0" borderId="0" xfId="0" applyAlignment="1"/>
    <xf numFmtId="165" fontId="2" fillId="2" borderId="5" xfId="1" applyNumberFormat="1" applyFont="1" applyFill="1" applyBorder="1" applyAlignment="1">
      <alignment horizontal="right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3" fontId="4" fillId="3" borderId="6" xfId="0" applyNumberFormat="1" applyFont="1" applyFill="1" applyBorder="1" applyAlignment="1">
      <alignment horizontal="right"/>
    </xf>
    <xf numFmtId="0" fontId="1" fillId="0" borderId="7" xfId="0" applyFont="1" applyBorder="1"/>
    <xf numFmtId="0" fontId="2" fillId="2" borderId="8" xfId="0" applyFont="1" applyFill="1" applyBorder="1"/>
    <xf numFmtId="0" fontId="5" fillId="0" borderId="0" xfId="0" applyFont="1" applyBorder="1"/>
    <xf numFmtId="0" fontId="1" fillId="0" borderId="9" xfId="0" applyFont="1" applyBorder="1"/>
    <xf numFmtId="0" fontId="2" fillId="2" borderId="10" xfId="0" applyFont="1" applyFill="1" applyBorder="1"/>
    <xf numFmtId="3" fontId="4" fillId="3" borderId="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3" fontId="4" fillId="3" borderId="11" xfId="0" applyNumberFormat="1" applyFont="1" applyFill="1" applyBorder="1" applyAlignment="1">
      <alignment horizontal="right"/>
    </xf>
    <xf numFmtId="0" fontId="4" fillId="3" borderId="8" xfId="0" applyFont="1" applyFill="1" applyBorder="1"/>
    <xf numFmtId="165" fontId="0" fillId="0" borderId="0" xfId="0" applyNumberFormat="1"/>
    <xf numFmtId="0" fontId="4" fillId="3" borderId="10" xfId="0" applyFont="1" applyFill="1" applyBorder="1"/>
    <xf numFmtId="0" fontId="1" fillId="0" borderId="12" xfId="0" applyFont="1" applyBorder="1"/>
    <xf numFmtId="165" fontId="1" fillId="0" borderId="13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3" fontId="4" fillId="3" borderId="14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6" fillId="0" borderId="0" xfId="0" applyFont="1" applyAlignment="1">
      <alignment horizontal="centerContinuous"/>
    </xf>
    <xf numFmtId="0" fontId="0" fillId="0" borderId="0" xfId="0" applyBorder="1"/>
    <xf numFmtId="0" fontId="2" fillId="2" borderId="15" xfId="0" applyFont="1" applyFill="1" applyBorder="1"/>
    <xf numFmtId="3" fontId="4" fillId="3" borderId="8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3" fontId="4" fillId="3" borderId="16" xfId="0" applyNumberFormat="1" applyFont="1" applyFill="1" applyBorder="1" applyAlignment="1">
      <alignment horizontal="center"/>
    </xf>
    <xf numFmtId="0" fontId="2" fillId="2" borderId="17" xfId="0" applyFont="1" applyFill="1" applyBorder="1"/>
    <xf numFmtId="14" fontId="0" fillId="0" borderId="0" xfId="0" applyBorder="1"/>
    <xf numFmtId="0" fontId="6" fillId="0" borderId="0" xfId="0" applyFont="1" applyBorder="1" applyAlignment="1"/>
  </cellXfs>
  <cellStyles count="2">
    <cellStyle name="Comma" xfId="1" builtinId="3"/>
    <cellStyle name="Normal" xfId="0" builtinId="0"/>
  </cellStyles>
  <dxfs count="1">
    <dxf>
      <font>
        <b/>
        <i val="0"/>
        <color rgb="FFFF0000"/>
      </font>
    </dxf>
  </dxfs>
</styleSheet>
</file>

<file path=xl/_rels/workbook.xml.rels>&#65279;<?xml version="1.0" encoding="utf-8"?><Relationships xmlns="http://schemas.openxmlformats.org/package/2006/relationships"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worksheet" Target="worksheets/sheet1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8</xdr:col>
      <xdr:colOff>0</xdr:colOff>
      <xdr:row>0</xdr:row>
      <xdr:rowOff>1</xdr:rowOff>
    </xdr:from>
    <xdr:to>
      <xdr:col>8</xdr:col>
      <xdr:colOff>876300</xdr:colOff>
      <xdr:row>5</xdr:row>
      <xdr:rowOff>25401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8018" y="0"/>
          <a:ext cx="876300" cy="876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192"/>
  <sheetViews>
    <sheetView tabSelected="1" topLeftCell="A2" workbookViewId="0">
      <selection activeCell="A1" sqref="A1:XFD1"/>
    </sheetView>
  </sheetViews>
  <sheetFormatPr defaultColWidth="11.42578125" defaultRowHeight="12.5" outlineLevelRow="1"/>
  <cols>
    <col min="1" max="1" width="1.5703125" style="4" customWidth="1"/>
    <col min="2" max="2" width="12" style="31" customWidth="1"/>
    <col min="3" max="3" width="22.42578125" style="31" customWidth="1"/>
    <col min="4" max="6" width="14.7109375" customWidth="1"/>
    <col min="7" max="9" width="15" customWidth="1"/>
    <col min="10" max="10" width="1.140625" customWidth="1"/>
  </cols>
  <sheetData>
    <row ht="15" hidden="1">
      <c r="D1" s="37">
        <v>44196</v>
      </c>
    </row>
    <row ht="39" customHeight="1">
      <c r="B2" s="24" t="s">
        <v>10</v>
      </c>
      <c s="24"/>
    </row>
    <row ht="5.25" customHeight="1" s="29" customFormat="1">
      <c s="25"/>
      <c s="13"/>
      <c s="13"/>
    </row>
    <row ht="17.5">
      <c r="B4" s="34" t="str">
        <f>"Avdeling: " &amp;"Fotball"</f>
        <v>Avdeling: Fotball</v>
      </c>
      <c s="38"/>
      <c s="6"/>
      <c s="6"/>
      <c s="6"/>
      <c s="6"/>
      <c s="6"/>
      <c s="6"/>
    </row>
    <row ht="5.25" customHeight="1">
      <c r="B5" s="17"/>
      <c s="17"/>
      <c s="8"/>
      <c s="8"/>
      <c s="8"/>
      <c s="8"/>
      <c s="8"/>
      <c s="8"/>
    </row>
    <row ht="15.5">
      <c r="B6" s="17" t="str">
        <f>CONCATENATE("Regnskapsrapport pr. ",TEXT(D1,"DD.MM.YYYY"))</f>
        <v>Regnskapsrapport pr. 31.12.2020</v>
      </c>
      <c s="17"/>
      <c s="8"/>
      <c s="8"/>
      <c s="8"/>
      <c s="8"/>
      <c s="8"/>
      <c s="8"/>
    </row>
    <row r="8">
      <c r="B8" s="21" t="s">
        <v>56</v>
      </c>
      <c s="19"/>
      <c s="27" t="s">
        <v>3</v>
      </c>
      <c s="26"/>
      <c s="33"/>
      <c s="27" t="s">
        <v>17</v>
      </c>
      <c s="26"/>
      <c s="35"/>
    </row>
    <row>
      <c r="B9" s="21"/>
      <c s="19"/>
      <c s="16" t="s">
        <v>16</v>
      </c>
      <c s="10" t="s">
        <v>141</v>
      </c>
      <c s="10" t="s">
        <v>104</v>
      </c>
      <c s="10" t="s">
        <v>16</v>
      </c>
      <c s="10" t="s">
        <v>141</v>
      </c>
      <c s="18" t="s">
        <v>104</v>
      </c>
    </row>
    <row>
      <c r="B10" s="11" t="s">
        <v>80</v>
      </c>
      <c s="2"/>
      <c s="3">
        <f t="shared" si="0" ref="D10:E14">0*-1</f>
        <v>0</v>
      </c>
      <c s="3">
        <f t="shared" si="0"/>
        <v>0</v>
      </c>
      <c s="3"/>
      <c s="3">
        <f t="shared" si="1" ref="G10:G12">0*-1</f>
        <v>0</v>
      </c>
      <c s="3">
        <f>0*-1</f>
        <v>0</v>
      </c>
      <c s="3"/>
    </row>
    <row ht="15" hidden="1" outlineLevel="1">
      <c r="B11" s="11">
        <v>3021</v>
      </c>
      <c s="2" t="s">
        <v>105</v>
      </c>
      <c s="3">
        <f t="shared" si="0"/>
        <v>0</v>
      </c>
      <c s="3">
        <f t="shared" si="0"/>
        <v>0</v>
      </c>
      <c s="3"/>
      <c s="3">
        <f t="shared" si="1"/>
        <v>0</v>
      </c>
      <c s="3">
        <f>-91500*-1</f>
        <v>91500</v>
      </c>
      <c s="3">
        <v>170000</v>
      </c>
    </row>
    <row ht="15" hidden="1" outlineLevel="1" customFormat="1">
      <c s="4"/>
      <c s="11">
        <v>3110</v>
      </c>
      <c s="2" t="s">
        <v>116</v>
      </c>
      <c s="3">
        <f t="shared" si="0"/>
        <v>0</v>
      </c>
      <c s="3">
        <f t="shared" si="0"/>
        <v>0</v>
      </c>
      <c s="3"/>
      <c s="3">
        <f t="shared" si="1"/>
        <v>0</v>
      </c>
      <c s="3">
        <f>0*-1</f>
        <v>0</v>
      </c>
      <c s="3">
        <v>10000</v>
      </c>
    </row>
    <row ht="15" hidden="1" outlineLevel="1" customFormat="1">
      <c s="4"/>
      <c s="11">
        <v>3120</v>
      </c>
      <c s="2" t="s">
        <v>33</v>
      </c>
      <c s="3">
        <f t="shared" si="0"/>
        <v>0</v>
      </c>
      <c s="3">
        <f t="shared" si="0"/>
        <v>0</v>
      </c>
      <c s="3"/>
      <c s="3">
        <f>-445530*-1</f>
        <v>445530</v>
      </c>
      <c s="3">
        <f>-479825*-1</f>
        <v>479825</v>
      </c>
      <c s="3">
        <v>560000</v>
      </c>
    </row>
    <row ht="15" hidden="1" outlineLevel="1" customFormat="1">
      <c s="4"/>
      <c s="11">
        <v>3121</v>
      </c>
      <c s="2" t="s">
        <v>4</v>
      </c>
      <c s="3">
        <f t="shared" si="0"/>
        <v>0</v>
      </c>
      <c s="3">
        <f t="shared" si="0"/>
        <v>0</v>
      </c>
      <c s="3"/>
      <c s="3">
        <f>-5000*-1</f>
        <v>5000</v>
      </c>
      <c s="3">
        <f>0*-1</f>
        <v>0</v>
      </c>
      <c s="3"/>
    </row>
    <row collapsed="1">
      <c r="B15" s="11" t="s">
        <v>138</v>
      </c>
      <c s="2"/>
      <c s="3">
        <f t="shared" si="2" ref="D15:D17">0*-1</f>
        <v>0</v>
      </c>
      <c s="3">
        <f>0*-1</f>
        <v>0</v>
      </c>
      <c s="3"/>
      <c s="3">
        <f>-450530*-1</f>
        <v>450530</v>
      </c>
      <c s="3">
        <f>-571325*-1</f>
        <v>571325</v>
      </c>
      <c s="3">
        <v>740000</v>
      </c>
    </row>
    <row ht="15" hidden="1" outlineLevel="1">
      <c r="B16" s="11">
        <v>3200</v>
      </c>
      <c s="2" t="s">
        <v>161</v>
      </c>
      <c s="3">
        <f t="shared" si="2"/>
        <v>0</v>
      </c>
      <c s="3">
        <f t="shared" si="3" ref="E16:E17">-10629.61*-1</f>
        <v>10629.610000000001</v>
      </c>
      <c s="3"/>
      <c s="3">
        <f t="shared" si="4" ref="G16:G17">-14698.69*-1</f>
        <v>14698.690000000001</v>
      </c>
      <c s="3">
        <f t="shared" si="5" ref="H16:H17">-571666.53*-1</f>
        <v>571666.53000000003</v>
      </c>
      <c s="3">
        <v>400000</v>
      </c>
    </row>
    <row collapsed="1">
      <c r="B17" s="11" t="s">
        <v>111</v>
      </c>
      <c s="2"/>
      <c s="3">
        <f t="shared" si="2"/>
        <v>0</v>
      </c>
      <c s="3">
        <f t="shared" si="3"/>
        <v>10629.610000000001</v>
      </c>
      <c s="3"/>
      <c s="3">
        <f t="shared" si="4"/>
        <v>14698.690000000001</v>
      </c>
      <c s="3">
        <f t="shared" si="5"/>
        <v>571666.53000000003</v>
      </c>
      <c s="3">
        <v>400000</v>
      </c>
    </row>
    <row ht="15" hidden="1" outlineLevel="1">
      <c r="B18" s="11">
        <v>3442</v>
      </c>
      <c s="2" t="s">
        <v>148</v>
      </c>
      <c s="3">
        <f t="shared" si="6" ref="D18:D19">-9375*-1</f>
        <v>9375</v>
      </c>
      <c s="3">
        <f t="shared" si="7" ref="E18:E20">0*-1</f>
        <v>0</v>
      </c>
      <c s="3"/>
      <c s="3">
        <f t="shared" si="8" ref="G18:G19">-9375*-1</f>
        <v>9375</v>
      </c>
      <c s="3">
        <f t="shared" si="9" ref="H18:H20">0*-1</f>
        <v>0</v>
      </c>
      <c s="3"/>
    </row>
    <row ht="15" hidden="1" outlineLevel="1" customFormat="1">
      <c s="4"/>
      <c s="11">
        <v>3443</v>
      </c>
      <c s="2" t="s">
        <v>149</v>
      </c>
      <c s="3">
        <f t="shared" si="6"/>
        <v>9375</v>
      </c>
      <c s="3">
        <f t="shared" si="7"/>
        <v>0</v>
      </c>
      <c s="3"/>
      <c s="3">
        <f t="shared" si="8"/>
        <v>9375</v>
      </c>
      <c s="3">
        <f t="shared" si="9"/>
        <v>0</v>
      </c>
      <c s="3"/>
    </row>
    <row ht="15" hidden="1" outlineLevel="1" customFormat="1">
      <c s="4"/>
      <c s="11">
        <v>3451</v>
      </c>
      <c s="2" t="s">
        <v>117</v>
      </c>
      <c s="3">
        <f>0*-1</f>
        <v>0</v>
      </c>
      <c s="3">
        <f t="shared" si="7"/>
        <v>0</v>
      </c>
      <c s="3"/>
      <c s="3">
        <f>-80000*-1</f>
        <v>80000</v>
      </c>
      <c s="3">
        <f t="shared" si="9"/>
        <v>0</v>
      </c>
      <c s="3"/>
    </row>
    <row collapsed="1">
      <c r="B21" s="11" t="s">
        <v>157</v>
      </c>
      <c s="2"/>
      <c s="3">
        <f>-18750*-1</f>
        <v>18750</v>
      </c>
      <c s="3">
        <f>0*-1</f>
        <v>0</v>
      </c>
      <c s="3"/>
      <c s="3">
        <f>-98750*-1</f>
        <v>98750</v>
      </c>
      <c s="3">
        <f>0*-1</f>
        <v>0</v>
      </c>
      <c s="3"/>
    </row>
    <row>
      <c r="B22" s="11" t="s">
        <v>29</v>
      </c>
      <c s="2"/>
      <c s="3">
        <f t="shared" si="10" ref="D22:E22">0*-1</f>
        <v>0</v>
      </c>
      <c s="3">
        <f t="shared" si="10"/>
        <v>0</v>
      </c>
      <c s="3"/>
      <c s="3">
        <f t="shared" si="11" ref="G22:H22">0*-1</f>
        <v>0</v>
      </c>
      <c s="3">
        <f t="shared" si="11"/>
        <v>0</v>
      </c>
      <c s="3"/>
    </row>
    <row>
      <c r="B23" s="11" t="s">
        <v>30</v>
      </c>
      <c s="2"/>
      <c s="3">
        <f t="shared" si="12" ref="D23:E23">0*-1</f>
        <v>0</v>
      </c>
      <c s="3">
        <f t="shared" si="12"/>
        <v>0</v>
      </c>
      <c s="3"/>
      <c s="3">
        <f t="shared" si="13" ref="G23:H23">0*-1</f>
        <v>0</v>
      </c>
      <c s="3">
        <f t="shared" si="13"/>
        <v>0</v>
      </c>
      <c s="3"/>
    </row>
    <row ht="15" hidden="1" outlineLevel="1">
      <c r="B24" s="14">
        <v>3922</v>
      </c>
      <c s="2" t="s">
        <v>143</v>
      </c>
      <c s="3">
        <f>-209896.46*-1</f>
        <v>209896.45999999999</v>
      </c>
      <c s="3">
        <f>-404109*-1</f>
        <v>404109</v>
      </c>
      <c s="3"/>
      <c s="3">
        <f>-346577.46*-1</f>
        <v>346577.46000000002</v>
      </c>
      <c s="3">
        <f>-382004*-1</f>
        <v>382004</v>
      </c>
      <c s="3">
        <v>380000</v>
      </c>
    </row>
    <row ht="15" hidden="1" outlineLevel="1" customFormat="1">
      <c s="4"/>
      <c s="14">
        <v>3960</v>
      </c>
      <c s="2" t="s">
        <v>162</v>
      </c>
      <c s="3">
        <f>-400550*-1</f>
        <v>400550</v>
      </c>
      <c s="3">
        <f>-38425*-1</f>
        <v>38425</v>
      </c>
      <c s="3"/>
      <c s="3">
        <f>-819304.14*-1</f>
        <v>819304.14000000001</v>
      </c>
      <c s="3">
        <f>-345600.49*-1</f>
        <v>345600.48999999999</v>
      </c>
      <c s="3">
        <v>350000</v>
      </c>
    </row>
    <row ht="15" hidden="1" outlineLevel="1" customFormat="1">
      <c s="4"/>
      <c s="14">
        <v>3970</v>
      </c>
      <c s="2" t="s">
        <v>60</v>
      </c>
      <c s="3">
        <f t="shared" si="14" ref="D26:D27">0*-1</f>
        <v>0</v>
      </c>
      <c s="3">
        <f>-39750*-1</f>
        <v>39750</v>
      </c>
      <c s="3">
        <v>50000</v>
      </c>
      <c s="3">
        <f>387*-1</f>
        <v>-387</v>
      </c>
      <c s="3">
        <f>-724051*-1</f>
        <v>724051</v>
      </c>
      <c s="3">
        <v>905000</v>
      </c>
    </row>
    <row ht="15" hidden="1" outlineLevel="1" customFormat="1">
      <c s="4"/>
      <c s="14">
        <v>3980</v>
      </c>
      <c s="2" t="s">
        <v>34</v>
      </c>
      <c s="3">
        <f t="shared" si="14"/>
        <v>0</v>
      </c>
      <c s="3">
        <f>0*-1</f>
        <v>0</v>
      </c>
      <c s="3"/>
      <c s="3">
        <f>0*-1</f>
        <v>0</v>
      </c>
      <c s="3">
        <f>-111145.17*-1</f>
        <v>111145.17</v>
      </c>
      <c s="3">
        <v>125000</v>
      </c>
    </row>
    <row ht="15" hidden="1" outlineLevel="1" customFormat="1">
      <c s="4"/>
      <c s="14">
        <v>3990</v>
      </c>
      <c s="2" t="s">
        <v>46</v>
      </c>
      <c s="3">
        <f>-30*-1</f>
        <v>30</v>
      </c>
      <c s="3">
        <f>-900*-1</f>
        <v>900</v>
      </c>
      <c s="3"/>
      <c s="3">
        <f>-30*-1</f>
        <v>30</v>
      </c>
      <c s="3">
        <f>-19500*-1</f>
        <v>19500</v>
      </c>
      <c s="3"/>
    </row>
    <row ht="15" hidden="1" outlineLevel="1" customFormat="1">
      <c s="4"/>
      <c s="14">
        <v>3991</v>
      </c>
      <c s="2" t="s">
        <v>118</v>
      </c>
      <c s="3">
        <f>-500*-1</f>
        <v>500</v>
      </c>
      <c s="3">
        <f>-2198*-1</f>
        <v>2198</v>
      </c>
      <c s="3">
        <v>10000</v>
      </c>
      <c s="3">
        <f>-1992*-1</f>
        <v>1992</v>
      </c>
      <c s="3">
        <f>-67348*-1</f>
        <v>67348</v>
      </c>
      <c s="3">
        <v>75000</v>
      </c>
    </row>
    <row ht="15" hidden="1" outlineLevel="1" customFormat="1">
      <c s="4"/>
      <c s="14">
        <v>3994</v>
      </c>
      <c s="2" t="s">
        <v>5</v>
      </c>
      <c s="3">
        <f t="shared" si="15" ref="D30:E30">0*-1</f>
        <v>0</v>
      </c>
      <c s="3">
        <f t="shared" si="15"/>
        <v>0</v>
      </c>
      <c s="3"/>
      <c s="3">
        <f>0*-1</f>
        <v>0</v>
      </c>
      <c s="3">
        <f>-16040*-1</f>
        <v>16040</v>
      </c>
      <c s="3">
        <v>17000</v>
      </c>
    </row>
    <row collapsed="1">
      <c r="B31" s="14" t="s">
        <v>74</v>
      </c>
      <c s="1"/>
      <c s="3">
        <f>-610976.46*-1</f>
        <v>610976.45999999996</v>
      </c>
      <c s="3">
        <f>-485382*-1</f>
        <v>485382</v>
      </c>
      <c s="3">
        <v>60000</v>
      </c>
      <c s="3">
        <f>-1167516.6*-1</f>
        <v>1167516.6000000001</v>
      </c>
      <c s="3">
        <f>-1665688.66*-1</f>
        <v>1665688.6599999999</v>
      </c>
      <c s="3">
        <v>1852000</v>
      </c>
    </row>
    <row>
      <c r="B32" s="14" t="s">
        <v>25</v>
      </c>
      <c s="1"/>
      <c s="3">
        <f t="shared" si="16" ref="D32:E32">0*-1</f>
        <v>0</v>
      </c>
      <c s="3">
        <f t="shared" si="16"/>
        <v>0</v>
      </c>
      <c s="3"/>
      <c s="3">
        <f t="shared" si="17" ref="G32:H32">0*-1</f>
        <v>0</v>
      </c>
      <c s="3">
        <f t="shared" si="17"/>
        <v>0</v>
      </c>
      <c s="3"/>
    </row>
    <row>
      <c r="B33" s="15" t="s">
        <v>57</v>
      </c>
      <c s="12"/>
      <c s="5">
        <f t="shared" si="18" ref="D33:I33">+D10+D15+D17+D21+D22+D23+D31+D32</f>
        <v>629726.45999999996</v>
      </c>
      <c s="5">
        <f t="shared" si="18"/>
        <v>496011.60999999999</v>
      </c>
      <c s="5">
        <f t="shared" si="18"/>
        <v>60000</v>
      </c>
      <c s="5">
        <f t="shared" si="18"/>
        <v>1731495.29</v>
      </c>
      <c s="5">
        <f t="shared" si="18"/>
        <v>2808680.1899999999</v>
      </c>
      <c s="5">
        <f t="shared" si="18"/>
        <v>2992000</v>
      </c>
    </row>
    <row ht="15" hidden="1" outlineLevel="1">
      <c r="B34" s="22">
        <v>4300</v>
      </c>
      <c s="2" t="s">
        <v>88</v>
      </c>
      <c s="3">
        <f t="shared" si="19" ref="D34:D35">157680*-1</f>
        <v>-157680</v>
      </c>
      <c s="3">
        <f t="shared" si="20" ref="E34:E35">20630.22*-1</f>
        <v>-20630.220000000001</v>
      </c>
      <c s="3">
        <f t="array" ref="F34">-15000</f>
        <v>-15000</v>
      </c>
      <c s="3">
        <f t="shared" si="21" ref="G34:G35">392713.86*-1</f>
        <v>-392713.85999999999</v>
      </c>
      <c s="3">
        <f t="shared" si="22" ref="H34:H35">571284.6*-1</f>
        <v>-571284.59999999998</v>
      </c>
      <c s="3">
        <f t="array" ref="I34">-579000</f>
        <v>-579000</v>
      </c>
    </row>
    <row collapsed="1">
      <c r="B35" s="22" t="s">
        <v>145</v>
      </c>
      <c s="1"/>
      <c s="3">
        <f t="shared" si="19"/>
        <v>-157680</v>
      </c>
      <c s="3">
        <f t="shared" si="20"/>
        <v>-20630.220000000001</v>
      </c>
      <c s="3">
        <f t="array" ref="F35">-15000</f>
        <v>-15000</v>
      </c>
      <c s="3">
        <f t="shared" si="21"/>
        <v>-392713.85999999999</v>
      </c>
      <c s="3">
        <f t="shared" si="22"/>
        <v>-571284.59999999998</v>
      </c>
      <c s="3">
        <f t="array" ref="I35">-579000</f>
        <v>-579000</v>
      </c>
    </row>
    <row>
      <c r="B36" s="11" t="s">
        <v>0</v>
      </c>
      <c s="1"/>
      <c s="3">
        <f t="shared" si="23" ref="D36:E36">0*-1</f>
        <v>0</v>
      </c>
      <c s="3">
        <f t="shared" si="23"/>
        <v>0</v>
      </c>
      <c s="3">
        <f t="array" ref="F36">0</f>
        <v>0</v>
      </c>
      <c s="3">
        <f t="shared" si="24" ref="G36:H36">0*-1</f>
        <v>0</v>
      </c>
      <c s="3">
        <f t="shared" si="24"/>
        <v>0</v>
      </c>
      <c s="3">
        <f t="array" ref="I36">0</f>
        <v>0</v>
      </c>
    </row>
    <row ht="15" hidden="1" outlineLevel="1">
      <c r="B37" s="11">
        <v>5001</v>
      </c>
      <c s="2" t="s">
        <v>61</v>
      </c>
      <c s="3">
        <f>17750*-1</f>
        <v>-17750</v>
      </c>
      <c s="3">
        <f t="shared" si="25" ref="E37:E38">0*-1</f>
        <v>0</v>
      </c>
      <c s="3">
        <f t="array" ref="F37">-20000</f>
        <v>-20000</v>
      </c>
      <c s="3">
        <f>38250*-1</f>
        <v>-38250</v>
      </c>
      <c s="3">
        <f>30000*-1</f>
        <v>-30000</v>
      </c>
      <c s="3">
        <f t="array" ref="I37">-50000</f>
        <v>-50000</v>
      </c>
    </row>
    <row ht="15" hidden="1" outlineLevel="1" customFormat="1">
      <c s="4"/>
      <c s="11">
        <v>5410</v>
      </c>
      <c s="2" t="s">
        <v>89</v>
      </c>
      <c s="3">
        <f>2502.75*-1</f>
        <v>-2502.75</v>
      </c>
      <c s="3">
        <f t="shared" si="25"/>
        <v>0</v>
      </c>
      <c s="3">
        <f t="array" ref="F38">-2890.5</f>
        <v>-2890.5</v>
      </c>
      <c s="3">
        <f>5393.25*-1</f>
        <v>-5393.25</v>
      </c>
      <c s="3">
        <f>4230*-1</f>
        <v>-4230</v>
      </c>
      <c s="3">
        <f t="array" ref="I38">-7120.5</f>
        <v>-7120.5</v>
      </c>
    </row>
    <row collapsed="1">
      <c r="B39" s="11" t="s">
        <v>139</v>
      </c>
      <c s="1"/>
      <c s="3">
        <f>20252.75*-1</f>
        <v>-20252.75</v>
      </c>
      <c s="3">
        <f>0*-1</f>
        <v>0</v>
      </c>
      <c s="3">
        <f t="array" ref="F39">-22890.5</f>
        <v>-22890.5</v>
      </c>
      <c s="3">
        <f>43643.25*-1</f>
        <v>-43643.25</v>
      </c>
      <c s="3">
        <f>34230*-1</f>
        <v>-34230</v>
      </c>
      <c s="3">
        <f t="array" ref="I39">-57120.5</f>
        <v>-57120.5</v>
      </c>
    </row>
    <row>
      <c r="B40" s="11" t="s">
        <v>169</v>
      </c>
      <c s="1"/>
      <c s="3">
        <f t="shared" si="26" ref="D40:E42">0*-1</f>
        <v>0</v>
      </c>
      <c s="3">
        <f t="shared" si="26"/>
        <v>0</v>
      </c>
      <c s="3">
        <f t="array" ref="F40">0</f>
        <v>0</v>
      </c>
      <c s="3">
        <f t="shared" si="27" ref="G40:G41">0*-1</f>
        <v>0</v>
      </c>
      <c s="3">
        <f>0*-1</f>
        <v>0</v>
      </c>
      <c s="3">
        <f t="array" ref="I40">0</f>
        <v>0</v>
      </c>
    </row>
    <row ht="15" hidden="1" outlineLevel="1">
      <c r="B41" s="11">
        <v>6300</v>
      </c>
      <c s="2" t="s">
        <v>90</v>
      </c>
      <c s="3">
        <f t="shared" si="26"/>
        <v>0</v>
      </c>
      <c s="3">
        <f t="shared" si="26"/>
        <v>0</v>
      </c>
      <c s="3">
        <f t="array" ref="F41">0</f>
        <v>0</v>
      </c>
      <c s="3">
        <f t="shared" si="27"/>
        <v>0</v>
      </c>
      <c s="3">
        <f>2500*-1</f>
        <v>-2500</v>
      </c>
      <c s="3">
        <f t="array" ref="I41">0</f>
        <v>0</v>
      </c>
    </row>
    <row ht="15" hidden="1" outlineLevel="1" customFormat="1">
      <c s="4"/>
      <c s="11">
        <v>6301</v>
      </c>
      <c s="2" t="s">
        <v>62</v>
      </c>
      <c s="3">
        <f t="shared" si="26"/>
        <v>0</v>
      </c>
      <c s="3">
        <f t="shared" si="26"/>
        <v>0</v>
      </c>
      <c s="3">
        <f t="array" ref="F42">0</f>
        <v>0</v>
      </c>
      <c s="3">
        <f t="shared" si="28" ref="G42:H42">24000*-1</f>
        <v>-24000</v>
      </c>
      <c s="3">
        <f t="shared" si="28"/>
        <v>-24000</v>
      </c>
      <c s="3">
        <f t="array" ref="I42">-80000</f>
        <v>-80000</v>
      </c>
    </row>
    <row ht="15" hidden="1" outlineLevel="1" customFormat="1">
      <c s="4"/>
      <c s="11">
        <v>6310</v>
      </c>
      <c s="2" t="s">
        <v>119</v>
      </c>
      <c s="3">
        <f>474645*-1</f>
        <v>-474645</v>
      </c>
      <c s="3">
        <f>490016*-1</f>
        <v>-490016</v>
      </c>
      <c s="3">
        <f t="array" ref="F43">-10000</f>
        <v>-10000</v>
      </c>
      <c s="3">
        <f>490070*-1</f>
        <v>-490070</v>
      </c>
      <c s="3">
        <f>692593.5*-1</f>
        <v>-692593.5</v>
      </c>
      <c s="3">
        <f t="array" ref="I43">-700000</f>
        <v>-700000</v>
      </c>
    </row>
    <row collapsed="1">
      <c r="B44" s="11" t="s">
        <v>75</v>
      </c>
      <c s="1"/>
      <c s="3">
        <f>474645*-1</f>
        <v>-474645</v>
      </c>
      <c s="3">
        <f>490016*-1</f>
        <v>-490016</v>
      </c>
      <c s="3">
        <f t="array" ref="F44">-10000</f>
        <v>-10000</v>
      </c>
      <c s="3">
        <f>514070*-1</f>
        <v>-514070</v>
      </c>
      <c s="3">
        <f>719093.5*-1</f>
        <v>-719093.5</v>
      </c>
      <c s="3">
        <f t="array" ref="I44">-780000</f>
        <v>-780000</v>
      </c>
    </row>
    <row ht="15" hidden="1" outlineLevel="1">
      <c r="B45" s="11"/>
      <c s="2" t="s">
        <v>128</v>
      </c>
      <c s="3">
        <f>2030*-1</f>
        <v>-2030</v>
      </c>
      <c s="3">
        <f t="shared" si="29" ref="E45:E46">0*-1</f>
        <v>0</v>
      </c>
      <c s="3">
        <f t="array" ref="F45">0</f>
        <v>0</v>
      </c>
      <c s="3">
        <f>9907.12*-1</f>
        <v>-9907.1200000000008</v>
      </c>
      <c s="3">
        <f t="shared" si="30" ref="H45:H46">0*-1</f>
        <v>0</v>
      </c>
      <c s="3">
        <f t="array" ref="I45">0</f>
        <v>0</v>
      </c>
    </row>
    <row ht="15" hidden="1" outlineLevel="1" customFormat="1">
      <c s="4"/>
      <c s="11"/>
      <c s="2" t="s">
        <v>91</v>
      </c>
      <c s="3">
        <f>0*-1</f>
        <v>0</v>
      </c>
      <c s="3">
        <f t="shared" si="29"/>
        <v>0</v>
      </c>
      <c s="3">
        <f t="array" ref="F46">0</f>
        <v>0</v>
      </c>
      <c s="3">
        <f>5951.25*-1</f>
        <v>-5951.25</v>
      </c>
      <c s="3">
        <f t="shared" si="30"/>
        <v>0</v>
      </c>
      <c s="3">
        <f t="array" ref="I46">0</f>
        <v>0</v>
      </c>
    </row>
    <row collapsed="1">
      <c r="B47" s="11" t="s">
        <v>158</v>
      </c>
      <c s="1"/>
      <c s="3">
        <f>2030*-1</f>
        <v>-2030</v>
      </c>
      <c s="3">
        <f>0*-1</f>
        <v>0</v>
      </c>
      <c s="3">
        <f t="array" ref="F47">0</f>
        <v>0</v>
      </c>
      <c s="3">
        <f>15858.37*-1</f>
        <v>-15858.370000000001</v>
      </c>
      <c s="3">
        <f>0*-1</f>
        <v>0</v>
      </c>
      <c s="3">
        <f t="array" ref="I47">0</f>
        <v>0</v>
      </c>
    </row>
    <row ht="15" hidden="1" outlineLevel="1">
      <c r="B48" s="11">
        <v>6500</v>
      </c>
      <c s="2" t="s">
        <v>72</v>
      </c>
      <c s="3">
        <f t="shared" si="31" ref="D48:D53">0*-1</f>
        <v>0</v>
      </c>
      <c s="3">
        <f>199*-1</f>
        <v>-199</v>
      </c>
      <c s="3">
        <f t="array" ref="F48">0</f>
        <v>0</v>
      </c>
      <c s="3">
        <f>68435.3*-1</f>
        <v>-68435.300000000003</v>
      </c>
      <c s="3">
        <f>3696.41*-1</f>
        <v>-3696.4099999999999</v>
      </c>
      <c s="3">
        <f t="array" ref="I48">0</f>
        <v>0</v>
      </c>
    </row>
    <row ht="15" hidden="1" outlineLevel="1" customFormat="1">
      <c s="4"/>
      <c s="11">
        <v>6550</v>
      </c>
      <c s="2" t="s">
        <v>173</v>
      </c>
      <c s="3">
        <f t="shared" si="31"/>
        <v>0</v>
      </c>
      <c s="3">
        <f>-1084.8*-1</f>
        <v>1084.8</v>
      </c>
      <c s="3">
        <f t="array" ref="F49">0</f>
        <v>0</v>
      </c>
      <c s="3">
        <f>-609.8*-1</f>
        <v>609.79999999999995</v>
      </c>
      <c s="3">
        <f>1034.7*-1</f>
        <v>-1034.7</v>
      </c>
      <c s="3">
        <f t="array" ref="I49">0</f>
        <v>0</v>
      </c>
    </row>
    <row ht="15" hidden="1" outlineLevel="1" customFormat="1">
      <c s="4"/>
      <c s="11">
        <v>6551</v>
      </c>
      <c s="2" t="s">
        <v>92</v>
      </c>
      <c s="3">
        <f t="shared" si="31"/>
        <v>0</v>
      </c>
      <c s="3">
        <f>2107*-1</f>
        <v>-2107</v>
      </c>
      <c s="3">
        <f t="array" ref="F50">0</f>
        <v>0</v>
      </c>
      <c s="3">
        <f>508*-1</f>
        <v>-508</v>
      </c>
      <c s="3">
        <f>2107*-1</f>
        <v>-2107</v>
      </c>
      <c s="3">
        <f t="array" ref="I50">0</f>
        <v>0</v>
      </c>
    </row>
    <row ht="15" hidden="1" outlineLevel="1" customFormat="1">
      <c s="4"/>
      <c s="11">
        <v>6560</v>
      </c>
      <c s="2" t="s">
        <v>129</v>
      </c>
      <c s="3">
        <f t="shared" si="31"/>
        <v>0</v>
      </c>
      <c s="3">
        <f>210.7*-1</f>
        <v>-210.69999999999999</v>
      </c>
      <c s="3">
        <f t="array" ref="F51">0</f>
        <v>0</v>
      </c>
      <c s="3">
        <f>0*-1</f>
        <v>0</v>
      </c>
      <c s="3">
        <f>34975.84*-1</f>
        <v>-34975.839999999997</v>
      </c>
      <c s="3">
        <f t="array" ref="I51">-34500</f>
        <v>-34500</v>
      </c>
    </row>
    <row ht="15" hidden="1" outlineLevel="1" customFormat="1">
      <c s="4"/>
      <c s="11">
        <v>6562</v>
      </c>
      <c s="2" t="s">
        <v>120</v>
      </c>
      <c s="3">
        <f t="shared" si="31"/>
        <v>0</v>
      </c>
      <c s="3">
        <f>2500*-1</f>
        <v>-2500</v>
      </c>
      <c s="3">
        <f t="array" ref="F52">-1500</f>
        <v>-1500</v>
      </c>
      <c s="3">
        <f>11447*-1</f>
        <v>-11447</v>
      </c>
      <c s="3">
        <f>4819.2*-1</f>
        <v>-4819.1999999999998</v>
      </c>
      <c s="3">
        <f t="array" ref="I52">-3500</f>
        <v>-3500</v>
      </c>
    </row>
    <row ht="15" hidden="1" outlineLevel="1" customFormat="1">
      <c s="4"/>
      <c s="11">
        <v>6570</v>
      </c>
      <c s="2" t="s">
        <v>163</v>
      </c>
      <c s="3">
        <f t="shared" si="31"/>
        <v>0</v>
      </c>
      <c s="3">
        <f>0*-1</f>
        <v>0</v>
      </c>
      <c s="3">
        <f t="array" ref="F53">0</f>
        <v>0</v>
      </c>
      <c s="3">
        <f>817.5*-1</f>
        <v>-817.5</v>
      </c>
      <c s="3">
        <f>0*-1</f>
        <v>0</v>
      </c>
      <c s="3">
        <f t="array" ref="I53">0</f>
        <v>0</v>
      </c>
    </row>
    <row collapsed="1">
      <c r="B54" s="11" t="s">
        <v>24</v>
      </c>
      <c s="1"/>
      <c s="3">
        <f t="shared" si="32" ref="D54:D56">0*-1</f>
        <v>0</v>
      </c>
      <c s="3">
        <f>3931.9*-1</f>
        <v>-3931.9000000000001</v>
      </c>
      <c s="3">
        <f t="array" ref="F54">-1500</f>
        <v>-1500</v>
      </c>
      <c s="3">
        <f>80598*-1</f>
        <v>-80598</v>
      </c>
      <c s="3">
        <f>46633.15*-1</f>
        <v>-46633.150000000001</v>
      </c>
      <c s="3">
        <f t="array" ref="I54">-38000</f>
        <v>-38000</v>
      </c>
    </row>
    <row ht="15" hidden="1" outlineLevel="1">
      <c r="B55" s="11">
        <v>6600</v>
      </c>
      <c s="2" t="s">
        <v>130</v>
      </c>
      <c s="3">
        <f t="shared" si="32"/>
        <v>0</v>
      </c>
      <c s="3">
        <f t="shared" si="33" ref="E55:E56">1075.83*-1</f>
        <v>-1075.8299999999999</v>
      </c>
      <c s="3">
        <f t="array" ref="F55">0</f>
        <v>0</v>
      </c>
      <c s="3">
        <f t="shared" si="34" ref="G55:G56">0*-1</f>
        <v>0</v>
      </c>
      <c s="3">
        <f t="shared" si="35" ref="H55:H56">2670.83*-1</f>
        <v>-2670.8299999999999</v>
      </c>
      <c s="3">
        <f t="array" ref="I55">0</f>
        <v>0</v>
      </c>
    </row>
    <row collapsed="1">
      <c r="B56" s="11" t="s">
        <v>102</v>
      </c>
      <c s="1"/>
      <c s="3">
        <f t="shared" si="32"/>
        <v>0</v>
      </c>
      <c s="3">
        <f t="shared" si="33"/>
        <v>-1075.8299999999999</v>
      </c>
      <c s="3">
        <f t="array" ref="F56">0</f>
        <v>0</v>
      </c>
      <c s="3">
        <f t="shared" si="34"/>
        <v>0</v>
      </c>
      <c s="3">
        <f t="shared" si="35"/>
        <v>-2670.8299999999999</v>
      </c>
      <c s="3">
        <f t="array" ref="I56">0</f>
        <v>0</v>
      </c>
    </row>
    <row ht="15" hidden="1" outlineLevel="1">
      <c r="B57" s="11">
        <v>6705</v>
      </c>
      <c s="2" t="s">
        <v>106</v>
      </c>
      <c s="3">
        <f>46280*-1</f>
        <v>-46280</v>
      </c>
      <c s="3">
        <f>59165*-1</f>
        <v>-59165</v>
      </c>
      <c s="3">
        <f t="array" ref="F57">-80000</f>
        <v>-80000</v>
      </c>
      <c s="3">
        <f>47030*-1</f>
        <v>-47030</v>
      </c>
      <c s="3">
        <f>59165*-1</f>
        <v>-59165</v>
      </c>
      <c s="3">
        <f t="array" ref="I57">-80000</f>
        <v>-80000</v>
      </c>
    </row>
    <row ht="15" hidden="1" outlineLevel="1" customFormat="1">
      <c s="4"/>
      <c s="11">
        <v>6731</v>
      </c>
      <c s="2" t="s">
        <v>35</v>
      </c>
      <c s="3">
        <f>10800*-1</f>
        <v>-10800</v>
      </c>
      <c s="3">
        <f>1350*-1</f>
        <v>-1350</v>
      </c>
      <c s="3">
        <f t="array" ref="F58">0</f>
        <v>0</v>
      </c>
      <c s="3">
        <f>55942.5*-1</f>
        <v>-55942.5</v>
      </c>
      <c s="3">
        <f>93389*-1</f>
        <v>-93389</v>
      </c>
      <c s="3">
        <f t="array" ref="I58">-100000</f>
        <v>-100000</v>
      </c>
    </row>
    <row ht="15" hidden="1" outlineLevel="1" customFormat="1">
      <c s="4"/>
      <c s="11">
        <v>6790</v>
      </c>
      <c s="2" t="s">
        <v>131</v>
      </c>
      <c s="3">
        <f>0*-1</f>
        <v>0</v>
      </c>
      <c s="3">
        <f>14938*-1</f>
        <v>-14938</v>
      </c>
      <c s="3">
        <f t="array" ref="F59">-25000</f>
        <v>-25000</v>
      </c>
      <c s="3">
        <f>6653.75*-1</f>
        <v>-6653.75</v>
      </c>
      <c s="3">
        <f>228382.25*-1</f>
        <v>-228382.25</v>
      </c>
      <c s="3">
        <f t="array" ref="I59">-240000</f>
        <v>-240000</v>
      </c>
    </row>
    <row collapsed="1">
      <c r="B60" s="11" t="s">
        <v>44</v>
      </c>
      <c s="1"/>
      <c s="3">
        <f>57080*-1</f>
        <v>-57080</v>
      </c>
      <c s="3">
        <f>75453*-1</f>
        <v>-75453</v>
      </c>
      <c s="3">
        <f t="array" ref="F60">-105000</f>
        <v>-105000</v>
      </c>
      <c s="3">
        <f>109626.25*-1</f>
        <v>-109626.25</v>
      </c>
      <c s="3">
        <f>380936.25*-1</f>
        <v>-380936.25</v>
      </c>
      <c s="3">
        <f t="array" ref="I60">-420000</f>
        <v>-420000</v>
      </c>
    </row>
    <row ht="15" hidden="1" outlineLevel="1">
      <c r="B61" s="11">
        <v>6840</v>
      </c>
      <c s="2" t="s">
        <v>107</v>
      </c>
      <c s="3">
        <f>0*-1</f>
        <v>0</v>
      </c>
      <c s="3">
        <f>2925.39*-1</f>
        <v>-2925.3899999999999</v>
      </c>
      <c s="3">
        <f t="array" ref="F61">0</f>
        <v>0</v>
      </c>
      <c s="3">
        <f>0*-1</f>
        <v>0</v>
      </c>
      <c s="3">
        <f>29199.91*-1</f>
        <v>-29199.91</v>
      </c>
      <c s="3">
        <f t="array" ref="I61">-30000</f>
        <v>-30000</v>
      </c>
    </row>
    <row ht="15" hidden="1" outlineLevel="1" customFormat="1">
      <c s="4"/>
      <c s="11">
        <v>6860</v>
      </c>
      <c s="2" t="s">
        <v>174</v>
      </c>
      <c s="3">
        <f>1802.8*-1</f>
        <v>-1802.8</v>
      </c>
      <c s="3">
        <f>5602.38*-1</f>
        <v>-5602.3800000000001</v>
      </c>
      <c s="3">
        <f t="array" ref="F62">-6500</f>
        <v>-6500</v>
      </c>
      <c s="3">
        <f>5404.91*-1</f>
        <v>-5404.9099999999999</v>
      </c>
      <c s="3">
        <f>13859.16*-1</f>
        <v>-13859.16</v>
      </c>
      <c s="3">
        <f t="array" ref="I62">-15000</f>
        <v>-15000</v>
      </c>
    </row>
    <row ht="15" hidden="1" outlineLevel="1" customFormat="1">
      <c s="4"/>
      <c s="11">
        <v>6861</v>
      </c>
      <c s="2" t="s">
        <v>18</v>
      </c>
      <c s="3">
        <f>7665*-1</f>
        <v>-7665</v>
      </c>
      <c s="3">
        <f>35241.53*-1</f>
        <v>-35241.529999999999</v>
      </c>
      <c s="3">
        <f t="array" ref="F63">-35000</f>
        <v>-35000</v>
      </c>
      <c s="3">
        <f>12256.03*-1</f>
        <v>-12256.030000000001</v>
      </c>
      <c s="3">
        <f>39421.59*-1</f>
        <v>-39421.589999999997</v>
      </c>
      <c s="3">
        <f t="array" ref="I63">-40000</f>
        <v>-40000</v>
      </c>
    </row>
    <row ht="15" hidden="1" outlineLevel="1" customFormat="1">
      <c s="4"/>
      <c s="11">
        <v>6890</v>
      </c>
      <c s="2" t="s">
        <v>121</v>
      </c>
      <c s="3">
        <f t="shared" si="36" ref="D64:E64">0*-1</f>
        <v>0</v>
      </c>
      <c s="3">
        <f t="shared" si="36"/>
        <v>0</v>
      </c>
      <c s="3">
        <f t="array" ref="F64">0</f>
        <v>0</v>
      </c>
      <c s="3">
        <f>149*-1</f>
        <v>-149</v>
      </c>
      <c s="3">
        <f>0*-1</f>
        <v>0</v>
      </c>
      <c s="3">
        <f t="array" ref="I64">0</f>
        <v>0</v>
      </c>
    </row>
    <row collapsed="1">
      <c r="B65" s="11" t="s">
        <v>76</v>
      </c>
      <c s="1"/>
      <c s="3">
        <f>9467.8*-1</f>
        <v>-9467.7999999999993</v>
      </c>
      <c s="3">
        <f>43769.3*-1</f>
        <v>-43769.300000000003</v>
      </c>
      <c s="3">
        <f t="array" ref="F65">-41500</f>
        <v>-41500</v>
      </c>
      <c s="3">
        <f>17809.94*-1</f>
        <v>-17809.939999999999</v>
      </c>
      <c s="3">
        <f>82480.66*-1</f>
        <v>-82480.660000000003</v>
      </c>
      <c s="3">
        <f t="array" ref="I65">-85000</f>
        <v>-85000</v>
      </c>
    </row>
    <row ht="15" hidden="1" outlineLevel="1">
      <c r="B66" s="11">
        <v>6907</v>
      </c>
      <c s="2" t="s">
        <v>6</v>
      </c>
      <c s="3">
        <f t="shared" si="37" ref="D66:D67">805*-1</f>
        <v>-805</v>
      </c>
      <c s="3">
        <f t="shared" si="38" ref="E66:E69">0*-1</f>
        <v>0</v>
      </c>
      <c s="3">
        <f t="array" ref="F66">0</f>
        <v>0</v>
      </c>
      <c s="3">
        <f t="shared" si="39" ref="G66:G67">805*-1</f>
        <v>-805</v>
      </c>
      <c s="3">
        <f t="shared" si="40" ref="H66:H67">0*-1</f>
        <v>0</v>
      </c>
      <c s="3">
        <f t="array" ref="I66">0</f>
        <v>0</v>
      </c>
    </row>
    <row collapsed="1">
      <c r="B67" s="11" t="s">
        <v>125</v>
      </c>
      <c s="1"/>
      <c s="3">
        <f t="shared" si="37"/>
        <v>-805</v>
      </c>
      <c s="3">
        <f t="shared" si="38"/>
        <v>0</v>
      </c>
      <c s="3">
        <f t="array" ref="F67">0</f>
        <v>0</v>
      </c>
      <c s="3">
        <f t="shared" si="39"/>
        <v>-805</v>
      </c>
      <c s="3">
        <f t="shared" si="40"/>
        <v>0</v>
      </c>
      <c s="3">
        <f t="array" ref="I67">0</f>
        <v>0</v>
      </c>
    </row>
    <row ht="15" hidden="1" outlineLevel="1">
      <c r="B68" s="11">
        <v>7091</v>
      </c>
      <c s="2" t="s">
        <v>63</v>
      </c>
      <c s="3">
        <f t="shared" si="41" ref="D68:D72">0*-1</f>
        <v>0</v>
      </c>
      <c s="3">
        <f t="shared" si="38"/>
        <v>0</v>
      </c>
      <c s="3">
        <f t="array" ref="F68">0</f>
        <v>0</v>
      </c>
      <c s="3">
        <f t="shared" si="42" ref="G68:G70">0*-1</f>
        <v>0</v>
      </c>
      <c s="3">
        <f t="shared" si="43" ref="H68:H69">21510*-1</f>
        <v>-21510</v>
      </c>
      <c s="3">
        <f t="array" ref="I68">-23000</f>
        <v>-23000</v>
      </c>
    </row>
    <row collapsed="1">
      <c r="B69" s="11" t="s">
        <v>11</v>
      </c>
      <c s="1"/>
      <c s="3">
        <f t="shared" si="41"/>
        <v>0</v>
      </c>
      <c s="3">
        <f t="shared" si="38"/>
        <v>0</v>
      </c>
      <c s="3">
        <f t="array" ref="F69">0</f>
        <v>0</v>
      </c>
      <c s="3">
        <f t="shared" si="42"/>
        <v>0</v>
      </c>
      <c s="3">
        <f t="shared" si="43"/>
        <v>-21510</v>
      </c>
      <c s="3">
        <f t="array" ref="I69">-23000</f>
        <v>-23000</v>
      </c>
    </row>
    <row ht="15" hidden="1" outlineLevel="1">
      <c r="B70" s="11">
        <v>7100</v>
      </c>
      <c s="2" t="s">
        <v>122</v>
      </c>
      <c s="3">
        <f t="shared" si="41"/>
        <v>0</v>
      </c>
      <c s="3">
        <f>1248*-1</f>
        <v>-1248</v>
      </c>
      <c s="3">
        <f t="array" ref="F70">-6000</f>
        <v>-6000</v>
      </c>
      <c s="3">
        <f t="shared" si="42"/>
        <v>0</v>
      </c>
      <c s="3">
        <f>28855*-1</f>
        <v>-28855</v>
      </c>
      <c s="3">
        <f t="array" ref="I70">-37500</f>
        <v>-37500</v>
      </c>
    </row>
    <row ht="15" hidden="1" outlineLevel="1" customFormat="1">
      <c s="4"/>
      <c s="11">
        <v>7140</v>
      </c>
      <c s="2" t="s">
        <v>64</v>
      </c>
      <c s="3">
        <f t="shared" si="41"/>
        <v>0</v>
      </c>
      <c s="3">
        <f>720*-1</f>
        <v>-720</v>
      </c>
      <c s="3">
        <f t="array" ref="F71">-500</f>
        <v>-500</v>
      </c>
      <c s="3">
        <f>1780*-1</f>
        <v>-1780</v>
      </c>
      <c s="3">
        <f>3852*-1</f>
        <v>-3852</v>
      </c>
      <c s="3">
        <f t="array" ref="I71">-7500</f>
        <v>-7500</v>
      </c>
    </row>
    <row ht="15" hidden="1" outlineLevel="1" customFormat="1">
      <c s="4"/>
      <c s="11">
        <v>7146</v>
      </c>
      <c s="2" t="s">
        <v>164</v>
      </c>
      <c s="3">
        <f t="shared" si="41"/>
        <v>0</v>
      </c>
      <c s="3">
        <f>0*-1</f>
        <v>0</v>
      </c>
      <c s="3">
        <f t="array" ref="F72">0</f>
        <v>0</v>
      </c>
      <c s="3">
        <f>0*-1</f>
        <v>0</v>
      </c>
      <c s="3">
        <f>12409*-1</f>
        <v>-12409</v>
      </c>
      <c s="3">
        <f t="array" ref="I72">-12000</f>
        <v>-12000</v>
      </c>
    </row>
    <row collapsed="1">
      <c r="B73" s="11" t="s">
        <v>81</v>
      </c>
      <c s="1"/>
      <c s="3">
        <f>0*-1</f>
        <v>0</v>
      </c>
      <c s="3">
        <f>1968*-1</f>
        <v>-1968</v>
      </c>
      <c s="3">
        <f t="array" ref="F73">-6500</f>
        <v>-6500</v>
      </c>
      <c s="3">
        <f>1780*-1</f>
        <v>-1780</v>
      </c>
      <c s="3">
        <f>45116*-1</f>
        <v>-45116</v>
      </c>
      <c s="3">
        <f t="array" ref="I73">-57000</f>
        <v>-57000</v>
      </c>
    </row>
    <row>
      <c r="B74" s="11" t="s">
        <v>82</v>
      </c>
      <c s="1"/>
      <c s="3">
        <f t="shared" si="44" ref="D74:D77">0*-1</f>
        <v>0</v>
      </c>
      <c s="3">
        <f t="shared" si="45" ref="E74:E75">0*-1</f>
        <v>0</v>
      </c>
      <c s="3">
        <f t="array" ref="F74">0</f>
        <v>0</v>
      </c>
      <c s="3">
        <f t="shared" si="46" ref="G74:H74">0*-1</f>
        <v>0</v>
      </c>
      <c s="3">
        <f t="shared" si="46"/>
        <v>0</v>
      </c>
      <c s="3">
        <f t="array" ref="I74">0</f>
        <v>0</v>
      </c>
    </row>
    <row ht="15" hidden="1" outlineLevel="1">
      <c r="B75" s="11">
        <v>7415</v>
      </c>
      <c s="2" t="s">
        <v>108</v>
      </c>
      <c s="3">
        <f t="shared" si="44"/>
        <v>0</v>
      </c>
      <c s="3">
        <f t="shared" si="45"/>
        <v>0</v>
      </c>
      <c s="3">
        <f t="array" ref="F75">0</f>
        <v>0</v>
      </c>
      <c s="3">
        <f>3200*-1</f>
        <v>-3200</v>
      </c>
      <c s="3">
        <f>6400*-1</f>
        <v>-6400</v>
      </c>
      <c s="3">
        <f t="array" ref="I75">-6500</f>
        <v>-6500</v>
      </c>
    </row>
    <row ht="15" hidden="1" outlineLevel="1" customFormat="1">
      <c s="4"/>
      <c s="11">
        <v>7420</v>
      </c>
      <c s="2" t="s">
        <v>175</v>
      </c>
      <c s="3">
        <f t="shared" si="44"/>
        <v>0</v>
      </c>
      <c s="3">
        <f>10657*-1</f>
        <v>-10657</v>
      </c>
      <c s="3">
        <f t="array" ref="F76">-3000</f>
        <v>-3000</v>
      </c>
      <c s="3">
        <f>48637.5*-1</f>
        <v>-48637.5</v>
      </c>
      <c s="3">
        <f>68339.5*-1</f>
        <v>-68339.5</v>
      </c>
      <c s="3">
        <f t="array" ref="I76">-70000</f>
        <v>-70000</v>
      </c>
    </row>
    <row ht="15" hidden="1" outlineLevel="1" customFormat="1">
      <c s="4"/>
      <c s="11">
        <v>7422</v>
      </c>
      <c s="2" t="s">
        <v>36</v>
      </c>
      <c s="3">
        <f t="shared" si="44"/>
        <v>0</v>
      </c>
      <c s="3">
        <f>4396.74*-1</f>
        <v>-4396.7399999999998</v>
      </c>
      <c s="3">
        <f t="array" ref="F77">-4000</f>
        <v>-4000</v>
      </c>
      <c s="3">
        <f>0*-1</f>
        <v>0</v>
      </c>
      <c s="3">
        <f>10942.64*-1</f>
        <v>-10942.639999999999</v>
      </c>
      <c s="3">
        <f t="array" ref="I77">-10000</f>
        <v>-10000</v>
      </c>
    </row>
    <row ht="15" hidden="1" outlineLevel="1" customFormat="1">
      <c s="4"/>
      <c s="11">
        <v>7460</v>
      </c>
      <c s="2" t="s">
        <v>37</v>
      </c>
      <c s="3">
        <f>1500*-1</f>
        <v>-1500</v>
      </c>
      <c s="3">
        <f>34000*-1</f>
        <v>-34000</v>
      </c>
      <c s="3">
        <f t="array" ref="F78">-10000</f>
        <v>-10000</v>
      </c>
      <c s="3">
        <f>55345*-1</f>
        <v>-55345</v>
      </c>
      <c s="3">
        <f>120750*-1</f>
        <v>-120750</v>
      </c>
      <c s="3">
        <f t="array" ref="I78">-120000</f>
        <v>-120000</v>
      </c>
    </row>
    <row collapsed="1">
      <c r="B79" s="11" t="s">
        <v>12</v>
      </c>
      <c s="1"/>
      <c s="3">
        <f>1500*-1</f>
        <v>-1500</v>
      </c>
      <c s="3">
        <f>49053.74*-1</f>
        <v>-49053.739999999998</v>
      </c>
      <c s="3">
        <f t="array" ref="F79">-17000</f>
        <v>-17000</v>
      </c>
      <c s="3">
        <f>107182.5*-1</f>
        <v>-107182.5</v>
      </c>
      <c s="3">
        <f>206432.14*-1</f>
        <v>-206432.14000000001</v>
      </c>
      <c s="3">
        <f t="array" ref="I79">-206500</f>
        <v>-206500</v>
      </c>
    </row>
    <row>
      <c r="B80" s="11" t="s">
        <v>140</v>
      </c>
      <c s="1"/>
      <c s="3">
        <f t="shared" si="47" ref="D80:D81">0*-1</f>
        <v>0</v>
      </c>
      <c s="3">
        <f>0*-1</f>
        <v>0</v>
      </c>
      <c s="3">
        <f t="array" ref="F80">0</f>
        <v>0</v>
      </c>
      <c s="3">
        <f t="shared" si="48" ref="G80:H80">0*-1</f>
        <v>0</v>
      </c>
      <c s="3">
        <f t="shared" si="48"/>
        <v>0</v>
      </c>
      <c s="3">
        <f t="array" ref="I80">0</f>
        <v>0</v>
      </c>
    </row>
    <row ht="15" hidden="1" outlineLevel="1">
      <c r="B81" s="14">
        <v>7730</v>
      </c>
      <c s="2" t="s">
        <v>176</v>
      </c>
      <c s="3">
        <f t="shared" si="47"/>
        <v>0</v>
      </c>
      <c s="3">
        <f>13849.2*-1</f>
        <v>-13849.200000000001</v>
      </c>
      <c s="3">
        <f t="array" ref="F81">-5000</f>
        <v>-5000</v>
      </c>
      <c s="3">
        <f>92234.6*-1</f>
        <v>-92234.600000000006</v>
      </c>
      <c s="3">
        <f>266992.75*-1</f>
        <v>-266992.75</v>
      </c>
      <c s="3">
        <f t="array" ref="I81">-265000</f>
        <v>-265000</v>
      </c>
    </row>
    <row ht="15" hidden="1" outlineLevel="1" customFormat="1">
      <c s="4"/>
      <c s="14">
        <v>7760</v>
      </c>
      <c s="2" t="s">
        <v>93</v>
      </c>
      <c s="3">
        <f>23032.97*-1</f>
        <v>-23032.970000000001</v>
      </c>
      <c s="3">
        <f>35810*-1</f>
        <v>-35810</v>
      </c>
      <c s="3">
        <f t="array" ref="F82">-30000</f>
        <v>-30000</v>
      </c>
      <c s="3">
        <f>29941.71*-1</f>
        <v>-29941.709999999999</v>
      </c>
      <c s="3">
        <f>57860*-1</f>
        <v>-57860</v>
      </c>
      <c s="3">
        <f t="array" ref="I82">-60000</f>
        <v>-60000</v>
      </c>
    </row>
    <row ht="15" hidden="1" outlineLevel="1" customFormat="1">
      <c s="4"/>
      <c s="14">
        <v>7770</v>
      </c>
      <c s="2" t="s">
        <v>132</v>
      </c>
      <c s="3">
        <f>4666*-1</f>
        <v>-4666</v>
      </c>
      <c s="3">
        <f>-1756*-1</f>
        <v>1756</v>
      </c>
      <c s="3">
        <f t="array" ref="F83">-3000</f>
        <v>-3000</v>
      </c>
      <c s="3">
        <f>42379*-1</f>
        <v>-42379</v>
      </c>
      <c s="3">
        <f>267762.22*-1</f>
        <v>-267762.21999999997</v>
      </c>
      <c s="3">
        <f t="array" ref="I83">-280000</f>
        <v>-280000</v>
      </c>
    </row>
    <row ht="15" hidden="1" outlineLevel="1" customFormat="1">
      <c s="4"/>
      <c s="14">
        <v>7771</v>
      </c>
      <c s="2" t="s">
        <v>94</v>
      </c>
      <c s="3">
        <f>-1.3*-1</f>
        <v>1.3</v>
      </c>
      <c s="3">
        <f>-0.43*-1</f>
        <v>0.42999999999999999</v>
      </c>
      <c s="3">
        <f t="array" ref="F84">0</f>
        <v>0</v>
      </c>
      <c s="3">
        <f>-1.3*-1</f>
        <v>1.3</v>
      </c>
      <c s="3">
        <f>-0.43*-1</f>
        <v>0.42999999999999999</v>
      </c>
      <c s="3">
        <f t="array" ref="I84">0</f>
        <v>0</v>
      </c>
    </row>
    <row ht="15" hidden="1" outlineLevel="1" customFormat="1">
      <c s="4"/>
      <c s="14">
        <v>7772</v>
      </c>
      <c s="2" t="s">
        <v>19</v>
      </c>
      <c s="3">
        <f>190*-1</f>
        <v>-190</v>
      </c>
      <c s="3">
        <f>860.73*-1</f>
        <v>-860.73000000000002</v>
      </c>
      <c s="3">
        <f t="array" ref="F85">-1500</f>
        <v>-1500</v>
      </c>
      <c s="3">
        <f>2409.58*-1</f>
        <v>-2409.5799999999999</v>
      </c>
      <c s="3">
        <f>5129.24*-1</f>
        <v>-5129.2399999999998</v>
      </c>
      <c s="3">
        <f t="array" ref="I85">-8500</f>
        <v>-8500</v>
      </c>
    </row>
    <row ht="15" hidden="1" outlineLevel="1" customFormat="1">
      <c s="4"/>
      <c s="14">
        <v>7780</v>
      </c>
      <c s="2" t="s">
        <v>133</v>
      </c>
      <c s="3">
        <f t="shared" si="49" ref="D86:E86">0*-1</f>
        <v>0</v>
      </c>
      <c s="3">
        <f t="shared" si="49"/>
        <v>0</v>
      </c>
      <c s="3">
        <f t="array" ref="F86">0</f>
        <v>0</v>
      </c>
      <c s="3">
        <f>4897.53*-1</f>
        <v>-4897.5299999999997</v>
      </c>
      <c s="3">
        <f>168.26*-1</f>
        <v>-168.25999999999999</v>
      </c>
      <c s="3">
        <f t="array" ref="I86">0</f>
        <v>0</v>
      </c>
    </row>
    <row ht="15" hidden="1" outlineLevel="1" customFormat="1">
      <c s="4"/>
      <c s="14">
        <v>7781</v>
      </c>
      <c s="2" t="s">
        <v>7</v>
      </c>
      <c s="3">
        <f>87.46*-1</f>
        <v>-87.459999999999994</v>
      </c>
      <c s="3">
        <f>92.83*-1</f>
        <v>-92.829999999999998</v>
      </c>
      <c s="3">
        <f t="array" ref="F87">0</f>
        <v>0</v>
      </c>
      <c s="3">
        <f>101.46*-1</f>
        <v>-101.45999999999999</v>
      </c>
      <c s="3">
        <f>247.29*-1</f>
        <v>-247.28999999999999</v>
      </c>
      <c s="3">
        <f t="array" ref="I87">0</f>
        <v>0</v>
      </c>
    </row>
    <row ht="15" hidden="1" outlineLevel="1" customFormat="1">
      <c s="4"/>
      <c s="14">
        <v>7790</v>
      </c>
      <c s="2" t="s">
        <v>95</v>
      </c>
      <c s="3">
        <f t="shared" si="50" ref="D88:D90">0*-1</f>
        <v>0</v>
      </c>
      <c s="3">
        <f t="shared" si="51" ref="E88:E89">0*-1</f>
        <v>0</v>
      </c>
      <c s="3">
        <f t="array" ref="F88">0</f>
        <v>0</v>
      </c>
      <c s="3">
        <f t="shared" si="52" ref="G88:G90">0*-1</f>
        <v>0</v>
      </c>
      <c s="3">
        <f>1131.73*-1</f>
        <v>-1131.73</v>
      </c>
      <c s="3">
        <f t="array" ref="I88">0</f>
        <v>0</v>
      </c>
    </row>
    <row ht="15" hidden="1" outlineLevel="1" customFormat="1">
      <c s="4"/>
      <c s="14">
        <v>7831</v>
      </c>
      <c s="2" t="s">
        <v>177</v>
      </c>
      <c s="3">
        <f t="shared" si="50"/>
        <v>0</v>
      </c>
      <c s="3">
        <f t="shared" si="51"/>
        <v>0</v>
      </c>
      <c s="3">
        <f t="array" ref="F89">-20000</f>
        <v>-20000</v>
      </c>
      <c s="3">
        <f t="shared" si="52"/>
        <v>0</v>
      </c>
      <c s="3">
        <f>0*-1</f>
        <v>0</v>
      </c>
      <c s="3">
        <f t="array" ref="I89">-20000</f>
        <v>-20000</v>
      </c>
    </row>
    <row ht="15" hidden="1" outlineLevel="1" customFormat="1">
      <c s="4"/>
      <c s="14">
        <v>7839</v>
      </c>
      <c s="2" t="s">
        <v>26</v>
      </c>
      <c s="3">
        <f t="shared" si="50"/>
        <v>0</v>
      </c>
      <c s="3">
        <f>61100*-1</f>
        <v>-61100</v>
      </c>
      <c s="3">
        <f t="array" ref="F90">-60000</f>
        <v>-60000</v>
      </c>
      <c s="3">
        <f t="shared" si="52"/>
        <v>0</v>
      </c>
      <c s="3">
        <f>61100*-1</f>
        <v>-61100</v>
      </c>
      <c s="3">
        <f t="array" ref="I90">-60000</f>
        <v>-60000</v>
      </c>
    </row>
    <row collapsed="1">
      <c r="B91" s="14" t="s">
        <v>31</v>
      </c>
      <c s="1"/>
      <c s="3">
        <f>27975.13*-1</f>
        <v>-27975.130000000001</v>
      </c>
      <c s="3">
        <f>109956.33*-1</f>
        <v>-109956.33</v>
      </c>
      <c s="3">
        <f t="array" ref="F91">-119500</f>
        <v>-119500</v>
      </c>
      <c s="3">
        <f>171962.58*-1</f>
        <v>-171962.57999999999</v>
      </c>
      <c s="3">
        <f>660391.06*-1</f>
        <v>-660391.06000000006</v>
      </c>
      <c s="3">
        <f t="array" ref="I91">-693500</f>
        <v>-693500</v>
      </c>
    </row>
    <row>
      <c r="B92" s="15" t="s">
        <v>45</v>
      </c>
      <c s="12"/>
      <c s="5">
        <f t="shared" si="53" ref="D92:I92">+D35+D36+D39+D40+D44+D47+D54+D56+D60+D65+D67+D69+D73+D74+D79+D80+D91</f>
        <v>-751435.68000000005</v>
      </c>
      <c s="5">
        <f t="shared" si="53"/>
        <v>-795854.31999999995</v>
      </c>
      <c s="5">
        <f t="shared" si="53"/>
        <v>-338890.5</v>
      </c>
      <c s="5">
        <f t="shared" si="53"/>
        <v>-1456049.75</v>
      </c>
      <c s="5">
        <f t="shared" si="53"/>
        <v>-2770778.1899999999</v>
      </c>
      <c s="5">
        <f t="shared" si="53"/>
        <v>-2939120.5</v>
      </c>
    </row>
    <row ht="15" hidden="1" outlineLevel="1">
      <c r="B93" s="22">
        <v>8051</v>
      </c>
      <c s="2" t="s">
        <v>150</v>
      </c>
      <c s="3">
        <f t="shared" si="54" ref="D93:D94">-2727.99*-1</f>
        <v>2727.9899999999998</v>
      </c>
      <c s="3">
        <f t="shared" si="55" ref="E93:E94">-3532.07*-1</f>
        <v>3532.0700000000002</v>
      </c>
      <c s="3">
        <v>3390.9299999999998</v>
      </c>
      <c s="3">
        <f t="shared" si="56" ref="G93:G94">-2727.99*-1</f>
        <v>2727.9899999999998</v>
      </c>
      <c s="3">
        <f t="shared" si="57" ref="H93:H94">-3532.07*-1</f>
        <v>3532.0700000000002</v>
      </c>
      <c s="3">
        <v>3390.9299999999998</v>
      </c>
    </row>
    <row collapsed="1">
      <c r="B94" s="22" t="s">
        <v>70</v>
      </c>
      <c s="1"/>
      <c s="3">
        <f t="shared" si="54"/>
        <v>2727.9899999999998</v>
      </c>
      <c s="3">
        <f t="shared" si="55"/>
        <v>3532.0700000000002</v>
      </c>
      <c s="3">
        <v>3390.9299999999998</v>
      </c>
      <c s="3">
        <f t="shared" si="56"/>
        <v>2727.9899999999998</v>
      </c>
      <c s="3">
        <f t="shared" si="57"/>
        <v>3532.0700000000002</v>
      </c>
      <c s="3">
        <v>3390.9299999999998</v>
      </c>
    </row>
    <row ht="15" hidden="1" outlineLevel="1">
      <c r="B95" s="14">
        <v>8150</v>
      </c>
      <c s="2" t="s">
        <v>165</v>
      </c>
      <c s="3">
        <f t="shared" si="58" ref="D95:E96">0*-1</f>
        <v>0</v>
      </c>
      <c s="3">
        <f t="shared" si="58"/>
        <v>0</v>
      </c>
      <c s="3">
        <f t="array" ref="F95">0</f>
        <v>0</v>
      </c>
      <c s="3">
        <f>0*-1</f>
        <v>0</v>
      </c>
      <c s="3">
        <f>2.91*-1</f>
        <v>-2.9100000000000001</v>
      </c>
      <c s="3">
        <f t="array" ref="I95">-2.91</f>
        <v>-2.9100000000000001</v>
      </c>
    </row>
    <row ht="15" hidden="1" outlineLevel="1" customFormat="1">
      <c s="4"/>
      <c s="14">
        <v>8155</v>
      </c>
      <c s="2" t="s">
        <v>8</v>
      </c>
      <c s="3">
        <f t="shared" si="58"/>
        <v>0</v>
      </c>
      <c s="3">
        <f t="shared" si="58"/>
        <v>0</v>
      </c>
      <c s="3">
        <f t="array" ref="F96">-538.65</f>
        <v>-538.64999999999998</v>
      </c>
      <c s="3">
        <f>1100.93*-1</f>
        <v>-1100.9300000000001</v>
      </c>
      <c s="3">
        <f>0*-1</f>
        <v>0</v>
      </c>
      <c s="3">
        <f t="array" ref="I96">-538.65</f>
        <v>-538.64999999999998</v>
      </c>
    </row>
    <row collapsed="1">
      <c r="B97" s="14" t="s">
        <v>58</v>
      </c>
      <c s="1"/>
      <c s="3">
        <f t="shared" si="59" ref="D97:E97">0*-1</f>
        <v>0</v>
      </c>
      <c s="3">
        <f t="shared" si="59"/>
        <v>0</v>
      </c>
      <c s="3">
        <f t="array" ref="F97">-538.65</f>
        <v>-538.64999999999998</v>
      </c>
      <c s="3">
        <f>1100.93*-1</f>
        <v>-1100.9300000000001</v>
      </c>
      <c s="3">
        <f>2.91*-1</f>
        <v>-2.9100000000000001</v>
      </c>
      <c s="3">
        <f t="array" ref="I97">-541.56</f>
        <v>-541.55999999999995</v>
      </c>
    </row>
    <row thickBot="1">
      <c r="B98" s="36" t="s">
        <v>1</v>
      </c>
      <c s="32"/>
      <c s="7">
        <f t="shared" si="60" ref="D98:I98">+D33+D92+D94+D97</f>
        <v>-118981.23000000008</v>
      </c>
      <c s="7">
        <f t="shared" si="60"/>
        <v>-296310.63999999996</v>
      </c>
      <c s="7">
        <f t="shared" si="60"/>
        <v>-276038.22000000003</v>
      </c>
      <c s="7">
        <f t="shared" si="60"/>
        <v>277072.60000000003</v>
      </c>
      <c s="7">
        <f t="shared" si="60"/>
        <v>41431.159999999996</v>
      </c>
      <c s="7">
        <f t="shared" si="60"/>
        <v>55728.870000000003</v>
      </c>
    </row>
    <row ht="5.25" customHeight="1" thickTop="1" s="29" customFormat="1">
      <c s="25"/>
      <c s="13"/>
      <c s="13"/>
    </row>
    <row ht="15.5" s="29" customFormat="1">
      <c s="25"/>
      <c s="17" t="s">
        <v>159</v>
      </c>
      <c s="17"/>
      <c s="9"/>
      <c s="9"/>
      <c s="9"/>
      <c s="9"/>
      <c s="9"/>
      <c s="30"/>
    </row>
    <row r="102">
      <c r="B102" s="21" t="s">
        <v>13</v>
      </c>
      <c s="19"/>
      <c s="16" t="s">
        <v>115</v>
      </c>
      <c s="10" t="s">
        <v>172</v>
      </c>
      <c s="18" t="s">
        <v>142</v>
      </c>
    </row>
    <row>
      <c r="B103" s="11" t="s">
        <v>83</v>
      </c>
      <c s="1"/>
      <c s="3"/>
      <c s="3"/>
      <c s="23">
        <f>+D103+E103</f>
        <v>0</v>
      </c>
    </row>
    <row>
      <c r="B104" s="11" t="s">
        <v>84</v>
      </c>
      <c s="1"/>
      <c s="3"/>
      <c s="3"/>
      <c s="23">
        <f t="shared" si="61" ref="F104:F107">+D104+E104</f>
        <v>0</v>
      </c>
    </row>
    <row ht="15" hidden="1" outlineLevel="1">
      <c r="B105" s="11">
        <v>1500</v>
      </c>
      <c s="2" t="s">
        <v>96</v>
      </c>
      <c s="3">
        <v>57667</v>
      </c>
      <c s="3">
        <v>29283</v>
      </c>
      <c s="23">
        <f t="shared" si="61"/>
        <v>86950</v>
      </c>
    </row>
    <row ht="15" hidden="1" outlineLevel="1" customFormat="1">
      <c s="4"/>
      <c s="11">
        <v>1520</v>
      </c>
      <c s="2" t="s">
        <v>134</v>
      </c>
      <c s="3">
        <v>139355</v>
      </c>
      <c s="3">
        <v>-100630</v>
      </c>
      <c s="23">
        <f t="shared" si="61"/>
        <v>38725</v>
      </c>
    </row>
    <row ht="15" hidden="1" outlineLevel="1" customFormat="1">
      <c s="4"/>
      <c s="11">
        <v>1528</v>
      </c>
      <c s="2" t="s">
        <v>73</v>
      </c>
      <c s="3">
        <v>0</v>
      </c>
      <c s="3">
        <v>0</v>
      </c>
      <c s="23">
        <f t="shared" si="61"/>
        <v>0</v>
      </c>
    </row>
    <row collapsed="1">
      <c r="B108" s="11" t="s">
        <v>85</v>
      </c>
      <c s="1"/>
      <c s="3">
        <v>197022</v>
      </c>
      <c s="3">
        <v>-71347</v>
      </c>
      <c s="23">
        <f t="shared" si="62" ref="F108:F114">+D108+E108</f>
        <v>125675</v>
      </c>
    </row>
    <row ht="15" hidden="1" outlineLevel="1">
      <c r="B109" s="11">
        <v>1501</v>
      </c>
      <c s="2" t="s">
        <v>97</v>
      </c>
      <c s="3">
        <v>0</v>
      </c>
      <c s="3">
        <v>0</v>
      </c>
      <c s="23">
        <f t="shared" si="62"/>
        <v>0</v>
      </c>
    </row>
    <row ht="15" hidden="1" outlineLevel="1" customFormat="1">
      <c s="4"/>
      <c s="11">
        <v>1503</v>
      </c>
      <c s="2" t="s">
        <v>27</v>
      </c>
      <c s="3">
        <v>0</v>
      </c>
      <c s="3"/>
      <c s="23">
        <f t="shared" si="62"/>
        <v>0</v>
      </c>
    </row>
    <row ht="15" hidden="1" outlineLevel="1" customFormat="1">
      <c s="4"/>
      <c s="11">
        <v>1505</v>
      </c>
      <c s="2" t="s">
        <v>151</v>
      </c>
      <c s="3">
        <v>0</v>
      </c>
      <c s="3"/>
      <c s="23">
        <f t="shared" si="62"/>
        <v>0</v>
      </c>
    </row>
    <row ht="15" hidden="1" outlineLevel="1" customFormat="1">
      <c s="4"/>
      <c s="11">
        <v>1506</v>
      </c>
      <c s="2" t="s">
        <v>178</v>
      </c>
      <c s="3">
        <v>0</v>
      </c>
      <c s="3"/>
      <c s="23">
        <f t="shared" si="62"/>
        <v>0</v>
      </c>
    </row>
    <row ht="15" hidden="1" outlineLevel="1" customFormat="1">
      <c s="4"/>
      <c s="11">
        <v>1515</v>
      </c>
      <c s="2" t="s">
        <v>152</v>
      </c>
      <c s="3"/>
      <c s="3">
        <v>0</v>
      </c>
      <c s="23">
        <f t="shared" si="62"/>
        <v>0</v>
      </c>
    </row>
    <row ht="15" hidden="1" outlineLevel="1" customFormat="1">
      <c s="4"/>
      <c s="11">
        <v>1516</v>
      </c>
      <c s="2" t="s">
        <v>38</v>
      </c>
      <c s="3"/>
      <c s="3">
        <v>0</v>
      </c>
      <c s="23">
        <f t="shared" si="62"/>
        <v>0</v>
      </c>
    </row>
    <row collapsed="1">
      <c r="B115" s="11" t="s">
        <v>14</v>
      </c>
      <c s="1"/>
      <c s="3">
        <v>0</v>
      </c>
      <c s="3">
        <v>0</v>
      </c>
      <c s="23">
        <f t="shared" si="63" ref="F115:F119">+D115+E115</f>
        <v>0</v>
      </c>
    </row>
    <row ht="15" hidden="1" outlineLevel="1">
      <c r="B116" s="11">
        <v>1548</v>
      </c>
      <c s="2" t="s">
        <v>123</v>
      </c>
      <c s="3">
        <v>314875</v>
      </c>
      <c s="3">
        <v>-314875</v>
      </c>
      <c s="23">
        <f t="shared" si="63"/>
        <v>0</v>
      </c>
    </row>
    <row ht="15" hidden="1" outlineLevel="1" customFormat="1">
      <c s="4"/>
      <c s="11">
        <v>1570</v>
      </c>
      <c s="2" t="s">
        <v>77</v>
      </c>
      <c s="3">
        <v>0</v>
      </c>
      <c s="3"/>
      <c s="23">
        <f t="shared" si="63"/>
        <v>0</v>
      </c>
    </row>
    <row ht="15" hidden="1" outlineLevel="1" customFormat="1">
      <c s="4"/>
      <c s="11">
        <v>1572</v>
      </c>
      <c s="2" t="s">
        <v>78</v>
      </c>
      <c s="3">
        <v>0</v>
      </c>
      <c s="3"/>
      <c s="23">
        <f t="shared" si="63"/>
        <v>0</v>
      </c>
    </row>
    <row ht="15" hidden="1" outlineLevel="1" customFormat="1">
      <c s="4"/>
      <c s="11">
        <v>1580</v>
      </c>
      <c s="2" t="s">
        <v>153</v>
      </c>
      <c s="3">
        <v>-117305</v>
      </c>
      <c s="3"/>
      <c s="23">
        <f t="shared" si="63"/>
        <v>-117305</v>
      </c>
    </row>
    <row collapsed="1">
      <c r="B120" s="11" t="s">
        <v>112</v>
      </c>
      <c s="1"/>
      <c s="3">
        <v>197570</v>
      </c>
      <c s="3">
        <v>-314875</v>
      </c>
      <c s="23">
        <f t="shared" si="64" ref="F120:F149">+D120+E120</f>
        <v>-117305</v>
      </c>
    </row>
    <row ht="15" hidden="1" outlineLevel="1">
      <c r="B121" s="11">
        <v>1749</v>
      </c>
      <c s="2" t="s">
        <v>109</v>
      </c>
      <c s="3">
        <v>0</v>
      </c>
      <c s="3"/>
      <c s="23">
        <f t="shared" si="64"/>
        <v>0</v>
      </c>
    </row>
    <row collapsed="1">
      <c r="B122" s="11" t="s">
        <v>146</v>
      </c>
      <c s="1"/>
      <c s="3">
        <v>0</v>
      </c>
      <c s="3"/>
      <c s="23">
        <f t="shared" si="64"/>
        <v>0</v>
      </c>
    </row>
    <row ht="15" hidden="1" outlineLevel="1">
      <c r="B123" s="11">
        <v>1801</v>
      </c>
      <c s="2" t="s">
        <v>47</v>
      </c>
      <c s="3">
        <v>34755.360000000001</v>
      </c>
      <c s="3"/>
      <c s="23">
        <f t="shared" si="64"/>
        <v>34755.360000000001</v>
      </c>
    </row>
    <row ht="15" hidden="1" outlineLevel="1" customFormat="1">
      <c s="4"/>
      <c s="11">
        <v>1803</v>
      </c>
      <c s="2" t="s">
        <v>79</v>
      </c>
      <c s="3">
        <v>20760.950000000001</v>
      </c>
      <c s="3"/>
      <c s="23">
        <f t="shared" si="64"/>
        <v>20760.950000000001</v>
      </c>
    </row>
    <row ht="15" hidden="1" outlineLevel="1" customFormat="1">
      <c s="4"/>
      <c s="11">
        <v>1804</v>
      </c>
      <c s="2" t="s">
        <v>20</v>
      </c>
      <c s="3">
        <v>0</v>
      </c>
      <c s="3"/>
      <c s="23">
        <f t="shared" si="64"/>
        <v>0</v>
      </c>
    </row>
    <row ht="15" hidden="1" outlineLevel="1" customFormat="1">
      <c s="4"/>
      <c s="11">
        <v>1805</v>
      </c>
      <c s="2" t="s">
        <v>21</v>
      </c>
      <c s="3">
        <v>36367.010000000002</v>
      </c>
      <c s="3"/>
      <c s="23">
        <f t="shared" si="64"/>
        <v>36367.010000000002</v>
      </c>
    </row>
    <row ht="15" hidden="1" outlineLevel="1" customFormat="1">
      <c s="4"/>
      <c s="11">
        <v>1806</v>
      </c>
      <c s="2" t="s">
        <v>110</v>
      </c>
      <c s="3">
        <v>0</v>
      </c>
      <c s="3"/>
      <c s="23">
        <f t="shared" si="64"/>
        <v>0</v>
      </c>
    </row>
    <row ht="15" hidden="1" outlineLevel="1" customFormat="1">
      <c s="4"/>
      <c s="11">
        <v>1807</v>
      </c>
      <c s="2" t="s">
        <v>179</v>
      </c>
      <c s="3">
        <v>0</v>
      </c>
      <c s="3"/>
      <c s="23">
        <f t="shared" si="64"/>
        <v>0</v>
      </c>
    </row>
    <row ht="15" hidden="1" outlineLevel="1" customFormat="1">
      <c s="4"/>
      <c s="11">
        <v>1808</v>
      </c>
      <c s="2" t="s">
        <v>48</v>
      </c>
      <c s="3">
        <v>11516.43</v>
      </c>
      <c s="3"/>
      <c s="23">
        <f t="shared" si="64"/>
        <v>11516.43</v>
      </c>
    </row>
    <row ht="15" hidden="1" outlineLevel="1" customFormat="1">
      <c s="4"/>
      <c s="11">
        <v>1809</v>
      </c>
      <c s="2" t="s">
        <v>49</v>
      </c>
      <c s="3">
        <v>14755.49</v>
      </c>
      <c s="3"/>
      <c s="23">
        <f t="shared" si="64"/>
        <v>14755.49</v>
      </c>
    </row>
    <row ht="15" hidden="1" outlineLevel="1" customFormat="1">
      <c s="4"/>
      <c s="11">
        <v>1810</v>
      </c>
      <c s="2" t="s">
        <v>135</v>
      </c>
      <c s="3">
        <v>0</v>
      </c>
      <c s="3"/>
      <c s="23">
        <f t="shared" si="64"/>
        <v>0</v>
      </c>
    </row>
    <row ht="15" hidden="1" outlineLevel="1" customFormat="1">
      <c s="4"/>
      <c s="11">
        <v>1811</v>
      </c>
      <c s="2" t="s">
        <v>65</v>
      </c>
      <c s="3">
        <v>267.69</v>
      </c>
      <c s="3"/>
      <c s="23">
        <f t="shared" si="64"/>
        <v>267.69</v>
      </c>
    </row>
    <row ht="15" hidden="1" outlineLevel="1" customFormat="1">
      <c s="4"/>
      <c s="11">
        <v>1812</v>
      </c>
      <c s="2" t="s">
        <v>50</v>
      </c>
      <c s="3">
        <v>5953.25</v>
      </c>
      <c s="3"/>
      <c s="23">
        <f t="shared" si="64"/>
        <v>5953.25</v>
      </c>
    </row>
    <row ht="15" hidden="1" outlineLevel="1" customFormat="1">
      <c s="4"/>
      <c s="11">
        <v>1813</v>
      </c>
      <c s="2" t="s">
        <v>124</v>
      </c>
      <c s="3">
        <v>20332.57</v>
      </c>
      <c s="3"/>
      <c s="23">
        <f t="shared" si="64"/>
        <v>20332.57</v>
      </c>
    </row>
    <row ht="15" hidden="1" outlineLevel="1" customFormat="1">
      <c s="4"/>
      <c s="11">
        <v>1814</v>
      </c>
      <c s="2" t="s">
        <v>154</v>
      </c>
      <c s="3">
        <v>18.190000000000001</v>
      </c>
      <c s="3"/>
      <c s="23">
        <f t="shared" si="64"/>
        <v>18.190000000000001</v>
      </c>
    </row>
    <row ht="15" hidden="1" outlineLevel="1" customFormat="1">
      <c s="4"/>
      <c s="11">
        <v>1817</v>
      </c>
      <c s="2" t="s">
        <v>22</v>
      </c>
      <c s="3">
        <v>2687.9000000000001</v>
      </c>
      <c s="3"/>
      <c s="23">
        <f t="shared" si="64"/>
        <v>2687.9000000000001</v>
      </c>
    </row>
    <row ht="15" hidden="1" outlineLevel="1" customFormat="1">
      <c s="4"/>
      <c s="11">
        <v>1818</v>
      </c>
      <c s="2" t="s">
        <v>155</v>
      </c>
      <c s="3">
        <v>43944.900000000001</v>
      </c>
      <c s="3"/>
      <c s="23">
        <f t="shared" si="64"/>
        <v>43944.900000000001</v>
      </c>
    </row>
    <row ht="15" hidden="1" outlineLevel="1" customFormat="1">
      <c s="4"/>
      <c s="11">
        <v>1819</v>
      </c>
      <c s="2" t="s">
        <v>66</v>
      </c>
      <c s="3">
        <v>8663.3199999999997</v>
      </c>
      <c s="3"/>
      <c s="23">
        <f t="shared" si="64"/>
        <v>8663.3199999999997</v>
      </c>
    </row>
    <row ht="15" hidden="1" outlineLevel="1" customFormat="1">
      <c s="4"/>
      <c s="11">
        <v>1820</v>
      </c>
      <c s="2" t="s">
        <v>156</v>
      </c>
      <c s="3">
        <v>22.59</v>
      </c>
      <c s="3"/>
      <c s="23">
        <f t="shared" si="64"/>
        <v>22.59</v>
      </c>
    </row>
    <row ht="15" hidden="1" outlineLevel="1" customFormat="1">
      <c s="4"/>
      <c s="11">
        <v>1821</v>
      </c>
      <c s="2" t="s">
        <v>51</v>
      </c>
      <c s="3">
        <v>6934.2600000000002</v>
      </c>
      <c s="3"/>
      <c s="23">
        <f t="shared" si="64"/>
        <v>6934.2600000000002</v>
      </c>
    </row>
    <row ht="15" hidden="1" outlineLevel="1" customFormat="1">
      <c s="4"/>
      <c s="11">
        <v>1822</v>
      </c>
      <c s="2" t="s">
        <v>98</v>
      </c>
      <c s="3">
        <v>5919.8000000000002</v>
      </c>
      <c s="3"/>
      <c s="23">
        <f t="shared" si="64"/>
        <v>5919.8000000000002</v>
      </c>
    </row>
    <row ht="15" hidden="1" outlineLevel="1" customFormat="1">
      <c s="4"/>
      <c s="11">
        <v>1823</v>
      </c>
      <c s="2" t="s">
        <v>52</v>
      </c>
      <c s="3">
        <v>6684.5100000000002</v>
      </c>
      <c s="3"/>
      <c s="23">
        <f t="shared" si="64"/>
        <v>6684.5100000000002</v>
      </c>
    </row>
    <row ht="15" hidden="1" outlineLevel="1" customFormat="1">
      <c s="4"/>
      <c s="11">
        <v>1824</v>
      </c>
      <c s="2" t="s">
        <v>180</v>
      </c>
      <c s="3">
        <v>41678.410000000003</v>
      </c>
      <c s="3"/>
      <c s="23">
        <f t="shared" si="64"/>
        <v>41678.410000000003</v>
      </c>
    </row>
    <row ht="15" hidden="1" outlineLevel="1" customFormat="1">
      <c s="4"/>
      <c s="11">
        <v>1825</v>
      </c>
      <c s="2" t="s">
        <v>136</v>
      </c>
      <c s="3">
        <v>4915.8800000000001</v>
      </c>
      <c s="3"/>
      <c s="23">
        <f t="shared" si="64"/>
        <v>4915.8800000000001</v>
      </c>
    </row>
    <row ht="15" hidden="1" outlineLevel="1" customFormat="1">
      <c s="4"/>
      <c s="11">
        <v>1827</v>
      </c>
      <c s="2" t="s">
        <v>99</v>
      </c>
      <c s="3">
        <v>4500.3599999999997</v>
      </c>
      <c s="3"/>
      <c s="23">
        <f t="shared" si="64"/>
        <v>4500.3599999999997</v>
      </c>
    </row>
    <row ht="15" hidden="1" outlineLevel="1" customFormat="1">
      <c s="4"/>
      <c s="11">
        <v>1828</v>
      </c>
      <c s="2" t="s">
        <v>39</v>
      </c>
      <c s="3">
        <v>5626.21</v>
      </c>
      <c s="3"/>
      <c s="23">
        <f t="shared" si="64"/>
        <v>5626.21</v>
      </c>
    </row>
    <row ht="15" hidden="1" outlineLevel="1" customFormat="1">
      <c s="4"/>
      <c s="11">
        <v>1829</v>
      </c>
      <c s="2" t="s">
        <v>181</v>
      </c>
      <c s="3">
        <v>340.38999999999999</v>
      </c>
      <c s="3"/>
      <c s="23">
        <f t="shared" si="64"/>
        <v>340.38999999999999</v>
      </c>
    </row>
    <row ht="15" hidden="1" outlineLevel="1" customFormat="1">
      <c s="4"/>
      <c s="11">
        <v>1830</v>
      </c>
      <c s="2" t="s">
        <v>40</v>
      </c>
      <c s="3">
        <v>14512.030000000001</v>
      </c>
      <c s="3"/>
      <c s="23">
        <f t="shared" si="64"/>
        <v>14512.030000000001</v>
      </c>
    </row>
    <row ht="15" hidden="1" outlineLevel="1" customFormat="1">
      <c s="4"/>
      <c s="11">
        <v>1831</v>
      </c>
      <c s="2" t="s">
        <v>182</v>
      </c>
      <c s="3">
        <v>15133.139999999999</v>
      </c>
      <c s="3"/>
      <c s="23">
        <f t="shared" si="64"/>
        <v>15133.139999999999</v>
      </c>
    </row>
    <row collapsed="1">
      <c r="B150" s="11" t="s">
        <v>170</v>
      </c>
      <c s="1"/>
      <c s="3">
        <v>306290.64000000001</v>
      </c>
      <c s="3"/>
      <c s="23">
        <f t="shared" si="65" ref="F150:F158">+D150+E150</f>
        <v>306290.64000000001</v>
      </c>
    </row>
    <row ht="15" hidden="1" outlineLevel="1">
      <c r="B151" s="14">
        <v>1900</v>
      </c>
      <c s="2" t="s">
        <v>23</v>
      </c>
      <c s="3">
        <v>1000</v>
      </c>
      <c s="3"/>
      <c s="23">
        <f t="shared" si="65"/>
        <v>1000</v>
      </c>
    </row>
    <row ht="15" hidden="1" outlineLevel="1" customFormat="1">
      <c s="4"/>
      <c s="14">
        <v>1901</v>
      </c>
      <c s="2" t="s">
        <v>67</v>
      </c>
      <c s="3">
        <v>0</v>
      </c>
      <c s="3"/>
      <c s="23">
        <f t="shared" si="65"/>
        <v>0</v>
      </c>
    </row>
    <row ht="15" hidden="1" outlineLevel="1" customFormat="1">
      <c s="4"/>
      <c s="14">
        <v>1921</v>
      </c>
      <c s="2" t="s">
        <v>166</v>
      </c>
      <c s="3">
        <v>0</v>
      </c>
      <c s="3"/>
      <c s="23">
        <f t="shared" si="65"/>
        <v>0</v>
      </c>
    </row>
    <row ht="15" hidden="1" outlineLevel="1" customFormat="1">
      <c s="4"/>
      <c s="14">
        <v>1928</v>
      </c>
      <c s="2" t="s">
        <v>100</v>
      </c>
      <c s="3">
        <v>0</v>
      </c>
      <c s="3"/>
      <c s="23">
        <f t="shared" si="65"/>
        <v>0</v>
      </c>
    </row>
    <row ht="15" hidden="1" outlineLevel="1" customFormat="1">
      <c s="4"/>
      <c s="14">
        <v>1933</v>
      </c>
      <c s="2" t="s">
        <v>183</v>
      </c>
      <c s="3">
        <v>567926.21999999997</v>
      </c>
      <c s="3">
        <v>126370.38</v>
      </c>
      <c s="23">
        <f t="shared" si="65"/>
        <v>694296.59999999998</v>
      </c>
    </row>
    <row ht="15" hidden="1" outlineLevel="1" customFormat="1">
      <c s="4"/>
      <c s="14">
        <v>1938</v>
      </c>
      <c s="2" t="s">
        <v>167</v>
      </c>
      <c s="3"/>
      <c s="3">
        <v>2837.54</v>
      </c>
      <c s="23">
        <f t="shared" si="65"/>
        <v>2837.54</v>
      </c>
    </row>
    <row ht="15" hidden="1" outlineLevel="1" customFormat="1">
      <c s="4"/>
      <c s="14">
        <v>1982</v>
      </c>
      <c s="2" t="s">
        <v>184</v>
      </c>
      <c s="3">
        <v>0</v>
      </c>
      <c s="3"/>
      <c s="23">
        <f t="shared" si="65"/>
        <v>0</v>
      </c>
    </row>
    <row ht="15" hidden="1" outlineLevel="1" customFormat="1">
      <c s="4"/>
      <c s="14">
        <v>1983</v>
      </c>
      <c s="2" t="s">
        <v>41</v>
      </c>
      <c s="3">
        <v>0</v>
      </c>
      <c s="3"/>
      <c s="23">
        <f t="shared" si="65"/>
        <v>0</v>
      </c>
    </row>
    <row collapsed="1">
      <c r="B159" s="14" t="s">
        <v>86</v>
      </c>
      <c s="1"/>
      <c s="3">
        <v>568926.21999999997</v>
      </c>
      <c s="3">
        <v>129207.92</v>
      </c>
      <c s="23">
        <f t="shared" si="66" ref="F159:F160">+D159+E159</f>
        <v>698134.14000000001</v>
      </c>
    </row>
    <row>
      <c r="B160" s="15" t="s">
        <v>87</v>
      </c>
      <c s="12"/>
      <c s="5">
        <f t="shared" si="67" ref="D160:E160">+D103+D104+D108+D115+D120+D122+D150+D159</f>
        <v>1269808.8599999999</v>
      </c>
      <c s="5">
        <f t="shared" si="67"/>
        <v>-257014.08000000002</v>
      </c>
      <c s="5">
        <f t="shared" si="66"/>
        <v>1012794.7799999998</v>
      </c>
    </row>
    <row r="162">
      <c r="B162" s="21" t="s">
        <v>15</v>
      </c>
      <c s="19"/>
      <c s="16"/>
      <c s="16"/>
      <c s="18"/>
    </row>
    <row ht="15" hidden="1" outlineLevel="1">
      <c r="B163" s="11">
        <v>2001</v>
      </c>
      <c s="2" t="s">
        <v>28</v>
      </c>
      <c s="3">
        <f t="array" ref="D163">--479208.14</f>
        <v>479208.14000000001</v>
      </c>
      <c s="3">
        <f t="shared" si="68" ref="E163:E164">38425*-1</f>
        <v>-38425</v>
      </c>
      <c s="23">
        <f t="shared" si="69" ref="F163:F165">+D163+E163</f>
        <v>440783.14000000001</v>
      </c>
    </row>
    <row collapsed="1">
      <c r="B164" s="11" t="s">
        <v>32</v>
      </c>
      <c s="1"/>
      <c s="3">
        <f t="array" ref="D164">--479208.14</f>
        <v>479208.14000000001</v>
      </c>
      <c s="3">
        <f t="shared" si="68"/>
        <v>-38425</v>
      </c>
      <c s="23">
        <f t="shared" si="69"/>
        <v>440783.14000000001</v>
      </c>
    </row>
    <row>
      <c r="B165" s="11" t="s">
        <v>147</v>
      </c>
      <c s="2"/>
      <c s="3">
        <f t="array" ref="D165">0</f>
        <v>0</v>
      </c>
      <c s="3">
        <f>-277072.6*-1</f>
        <v>277072.59999999998</v>
      </c>
      <c s="23">
        <f t="shared" si="69"/>
        <v>277072.59999999998</v>
      </c>
    </row>
    <row>
      <c r="B166" s="11" t="s">
        <v>160</v>
      </c>
      <c s="1"/>
      <c s="3">
        <f t="array" ref="D166">0</f>
        <v>0</v>
      </c>
      <c s="3">
        <f>0*-1</f>
        <v>0</v>
      </c>
      <c s="23">
        <f>+D166+E166</f>
        <v>0</v>
      </c>
    </row>
    <row>
      <c r="B167" s="11" t="s">
        <v>113</v>
      </c>
      <c s="1"/>
      <c s="3">
        <f t="array" ref="D167">0</f>
        <v>0</v>
      </c>
      <c s="3">
        <f>0*-1</f>
        <v>0</v>
      </c>
      <c s="23">
        <f>+D167+E167</f>
        <v>0</v>
      </c>
    </row>
    <row>
      <c r="B168" s="11" t="s">
        <v>114</v>
      </c>
      <c s="1"/>
      <c s="3">
        <f t="array" ref="D168">0</f>
        <v>0</v>
      </c>
      <c s="3">
        <f>0*-1</f>
        <v>0</v>
      </c>
      <c s="23">
        <f t="shared" si="70" ref="F168:F173">+D168+E168</f>
        <v>0</v>
      </c>
    </row>
    <row ht="15" hidden="1" outlineLevel="1">
      <c r="B169" s="11">
        <v>2410</v>
      </c>
      <c s="2" t="s">
        <v>126</v>
      </c>
      <c s="3">
        <f t="array" ref="D169">--487890.08</f>
        <v>487890.08000000002</v>
      </c>
      <c s="3">
        <f t="shared" si="71" ref="E169:E170">499241.68*-1</f>
        <v>-499241.67999999999</v>
      </c>
      <c s="23">
        <f t="shared" si="70"/>
        <v>-11351.599999999977</v>
      </c>
    </row>
    <row collapsed="1">
      <c r="B170" s="11" t="s">
        <v>126</v>
      </c>
      <c s="1"/>
      <c s="3">
        <f t="array" ref="D170">--487890.08</f>
        <v>487890.08000000002</v>
      </c>
      <c s="3">
        <f t="shared" si="71"/>
        <v>-499241.67999999999</v>
      </c>
      <c s="23">
        <f t="shared" si="70"/>
        <v>-11351.599999999977</v>
      </c>
    </row>
    <row ht="15" hidden="1" outlineLevel="1">
      <c r="B171" s="11">
        <v>2710</v>
      </c>
      <c s="2" t="s">
        <v>185</v>
      </c>
      <c s="3">
        <f t="array" ref="D171">0</f>
        <v>0</v>
      </c>
      <c s="3">
        <f t="shared" si="72" ref="E171:E173">0*-1</f>
        <v>0</v>
      </c>
      <c s="23">
        <f t="shared" si="70"/>
        <v>0</v>
      </c>
    </row>
    <row ht="15" hidden="1" outlineLevel="1" customFormat="1">
      <c s="4"/>
      <c s="11">
        <v>2740</v>
      </c>
      <c s="2" t="s">
        <v>144</v>
      </c>
      <c s="3">
        <f t="array" ref="D172">0</f>
        <v>0</v>
      </c>
      <c s="3">
        <f t="shared" si="72"/>
        <v>0</v>
      </c>
      <c s="23">
        <f t="shared" si="70"/>
        <v>0</v>
      </c>
    </row>
    <row ht="15" hidden="1" outlineLevel="1" customFormat="1">
      <c s="4"/>
      <c s="11">
        <v>2770</v>
      </c>
      <c s="2" t="s">
        <v>168</v>
      </c>
      <c s="3">
        <f t="array" ref="D173">0</f>
        <v>0</v>
      </c>
      <c s="3">
        <f t="shared" si="72"/>
        <v>0</v>
      </c>
      <c s="23">
        <f t="shared" si="70"/>
        <v>0</v>
      </c>
    </row>
    <row collapsed="1">
      <c r="B174" s="11" t="s">
        <v>103</v>
      </c>
      <c s="1"/>
      <c s="3">
        <f t="array" ref="D174">0</f>
        <v>0</v>
      </c>
      <c s="3">
        <f t="shared" si="73" ref="E174:E175">0*-1</f>
        <v>0</v>
      </c>
      <c s="23">
        <f t="shared" si="74" ref="F174:F180">+D174+E174</f>
        <v>0</v>
      </c>
    </row>
    <row ht="15" hidden="1" outlineLevel="1">
      <c r="B175" s="11">
        <v>2901</v>
      </c>
      <c s="2" t="s">
        <v>9</v>
      </c>
      <c s="3">
        <f t="array" ref="D175">0</f>
        <v>0</v>
      </c>
      <c s="3">
        <f t="shared" si="73"/>
        <v>0</v>
      </c>
      <c s="23">
        <f t="shared" si="74"/>
        <v>0</v>
      </c>
    </row>
    <row ht="15" hidden="1" outlineLevel="1" customFormat="1">
      <c s="4"/>
      <c s="11">
        <v>2902</v>
      </c>
      <c s="2" t="s">
        <v>42</v>
      </c>
      <c s="3">
        <f t="array" ref="D176">-3580</f>
        <v>-3580</v>
      </c>
      <c s="3">
        <f>-3580*-1</f>
        <v>3580</v>
      </c>
      <c s="23">
        <f t="shared" si="74"/>
        <v>0</v>
      </c>
    </row>
    <row ht="15" hidden="1" outlineLevel="1" customFormat="1">
      <c s="4"/>
      <c s="11">
        <v>2903</v>
      </c>
      <c s="2" t="s">
        <v>43</v>
      </c>
      <c s="3">
        <f t="array" ref="D177">0</f>
        <v>0</v>
      </c>
      <c s="3">
        <f t="shared" si="75" ref="E177:E180">0*-1</f>
        <v>0</v>
      </c>
      <c s="23">
        <f t="shared" si="74"/>
        <v>0</v>
      </c>
    </row>
    <row ht="15" hidden="1" outlineLevel="1" customFormat="1">
      <c s="4"/>
      <c s="11">
        <v>2908</v>
      </c>
      <c s="2" t="s">
        <v>101</v>
      </c>
      <c s="3">
        <f t="array" ref="D178">0</f>
        <v>0</v>
      </c>
      <c s="3">
        <f t="shared" si="75"/>
        <v>0</v>
      </c>
      <c s="23">
        <f t="shared" si="74"/>
        <v>0</v>
      </c>
    </row>
    <row ht="15" hidden="1" outlineLevel="1" customFormat="1">
      <c s="4"/>
      <c s="11">
        <v>2915</v>
      </c>
      <c s="2" t="s">
        <v>53</v>
      </c>
      <c s="3">
        <f t="array" ref="D179">0</f>
        <v>0</v>
      </c>
      <c s="3">
        <f t="shared" si="75"/>
        <v>0</v>
      </c>
      <c s="23">
        <f t="shared" si="74"/>
        <v>0</v>
      </c>
    </row>
    <row ht="15" hidden="1" outlineLevel="1" customFormat="1">
      <c s="4"/>
      <c s="11">
        <v>2916</v>
      </c>
      <c s="2" t="s">
        <v>137</v>
      </c>
      <c s="3">
        <f t="array" ref="D180">0</f>
        <v>0</v>
      </c>
      <c s="3">
        <f t="shared" si="75"/>
        <v>0</v>
      </c>
      <c s="23">
        <f t="shared" si="74"/>
        <v>0</v>
      </c>
    </row>
    <row collapsed="1">
      <c r="B181" s="11" t="s">
        <v>171</v>
      </c>
      <c s="1"/>
      <c s="3">
        <f t="array" ref="D181">-3580</f>
        <v>-3580</v>
      </c>
      <c s="3">
        <f>-3580*-1</f>
        <v>3580</v>
      </c>
      <c s="23">
        <f t="shared" si="76" ref="F181:F186">+D181+E181</f>
        <v>0</v>
      </c>
    </row>
    <row ht="15" hidden="1" outlineLevel="1">
      <c r="B182" s="11">
        <v>2960</v>
      </c>
      <c s="2" t="s">
        <v>54</v>
      </c>
      <c s="3">
        <f t="array" ref="D182">0</f>
        <v>0</v>
      </c>
      <c s="3">
        <f t="shared" si="77" ref="E182:E186">0*-1</f>
        <v>0</v>
      </c>
      <c s="23">
        <f t="shared" si="76"/>
        <v>0</v>
      </c>
    </row>
    <row ht="15" hidden="1" outlineLevel="1" customFormat="1">
      <c s="4"/>
      <c s="11">
        <v>2966</v>
      </c>
      <c s="2" t="s">
        <v>55</v>
      </c>
      <c s="3">
        <f t="array" ref="D183">0</f>
        <v>0</v>
      </c>
      <c s="3">
        <f t="shared" si="77"/>
        <v>0</v>
      </c>
      <c s="23">
        <f t="shared" si="76"/>
        <v>0</v>
      </c>
    </row>
    <row ht="15" hidden="1" outlineLevel="1" customFormat="1">
      <c s="4"/>
      <c s="11">
        <v>2990</v>
      </c>
      <c s="2" t="s">
        <v>127</v>
      </c>
      <c s="3">
        <f t="array" ref="D184">0</f>
        <v>0</v>
      </c>
      <c s="3">
        <f t="shared" si="77"/>
        <v>0</v>
      </c>
      <c s="23">
        <f t="shared" si="76"/>
        <v>0</v>
      </c>
    </row>
    <row ht="15" hidden="1" outlineLevel="1" customFormat="1">
      <c s="4"/>
      <c s="11">
        <v>2994</v>
      </c>
      <c s="2" t="s">
        <v>68</v>
      </c>
      <c s="3">
        <f t="array" ref="D185">0</f>
        <v>0</v>
      </c>
      <c s="3">
        <f t="shared" si="77"/>
        <v>0</v>
      </c>
      <c s="23">
        <f t="shared" si="76"/>
        <v>0</v>
      </c>
    </row>
    <row ht="15" hidden="1" outlineLevel="1" customFormat="1">
      <c s="4"/>
      <c s="11">
        <v>2995</v>
      </c>
      <c s="2" t="s">
        <v>186</v>
      </c>
      <c s="3">
        <f t="array" ref="D186">0</f>
        <v>0</v>
      </c>
      <c s="3">
        <f t="shared" si="77"/>
        <v>0</v>
      </c>
      <c s="23">
        <f t="shared" si="76"/>
        <v>0</v>
      </c>
    </row>
    <row collapsed="1">
      <c r="B187" s="11" t="s">
        <v>127</v>
      </c>
      <c s="1"/>
      <c s="3">
        <f t="array" ref="D187">0</f>
        <v>0</v>
      </c>
      <c s="3">
        <f t="shared" si="78" ref="E187:E189">0*-1</f>
        <v>0</v>
      </c>
      <c s="23">
        <f t="shared" si="79" ref="F187:F190">+D187+E187</f>
        <v>0</v>
      </c>
    </row>
    <row ht="15" hidden="1" outlineLevel="1">
      <c r="B188" s="11">
        <v>2970</v>
      </c>
      <c s="2" t="s">
        <v>69</v>
      </c>
      <c s="3">
        <f t="array" ref="D188">--306290.64</f>
        <v>306290.64000000001</v>
      </c>
      <c s="3">
        <f t="shared" si="78"/>
        <v>0</v>
      </c>
      <c s="23">
        <f t="shared" si="79"/>
        <v>306290.64000000001</v>
      </c>
    </row>
    <row collapsed="1">
      <c r="B189" s="11" t="s">
        <v>59</v>
      </c>
      <c s="1"/>
      <c s="3">
        <f t="array" ref="D189">--306290.64</f>
        <v>306290.64000000001</v>
      </c>
      <c s="3">
        <f t="shared" si="78"/>
        <v>0</v>
      </c>
      <c s="23">
        <f t="shared" si="79"/>
        <v>306290.64000000001</v>
      </c>
    </row>
    <row>
      <c r="B190" s="15" t="s">
        <v>71</v>
      </c>
      <c s="12"/>
      <c s="5">
        <f t="shared" si="80" ref="D190:E190">+D164+D165+D166+D167+D168+D170+D174+D181+D187+D189</f>
        <v>1269808.8599999999</v>
      </c>
      <c s="5">
        <f t="shared" si="80"/>
        <v>-257014.08000000002</v>
      </c>
      <c s="5">
        <f t="shared" si="79"/>
        <v>1012794.7799999998</v>
      </c>
    </row>
    <row r="192">
      <c r="B192" s="28" t="s">
        <v>2</v>
      </c>
      <c s="28"/>
      <c s="20">
        <f t="shared" si="81" ref="D192:E192">+D160-D190</f>
        <v>0</v>
      </c>
      <c s="20">
        <f t="shared" si="81"/>
        <v>0</v>
      </c>
      <c s="20">
        <f>+D192+E192</f>
        <v>0</v>
      </c>
    </row>
  </sheetData>
  <mergeCells count="2">
    <mergeCell ref="D8:F8"/>
    <mergeCell ref="G8:I8"/>
  </mergeCells>
  <conditionalFormatting sqref="D192 F192">
    <cfRule type="cellIs" dxfId="0" priority="2" operator="notEqual">
      <formula>0</formula>
    </cfRule>
  </conditionalFormatting>
  <conditionalFormatting sqref="E192">
    <cfRule type="cellIs" dxfId="0" priority="1" operator="notEqual">
      <formula>0</formula>
    </cfRule>
  </conditionalFormatting>
  <pageMargins left="0.43307086614173229" right="0.23622047244094491" top="0.55118110236220474" bottom="0.55118110236220474" header="0.31496062992125984" footer="0.31496062992125984"/>
  <pageSetup paperSize="9" fitToHeight="0" orientation="landscape"/>
  <headerFooter>
    <oddHeader>&amp;R&amp;G</oddHeader>
    <oddFooter>&amp;CSide &amp;P av &amp;N</oddFooter>
  </headerFooter>
  <rowBreaks count="1" manualBreakCount="1">
    <brk id="99" max="16383" man="1"/>
  </rowBreaks>
  <drawing r:id="rId1"/>
</worksheet>
</file>